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Post1010\Botball2024\GCER\"/>
    </mc:Choice>
  </mc:AlternateContent>
  <xr:revisionPtr revIDLastSave="0" documentId="13_ncr:1_{42333CCA-A668-44F8-9EE1-7D2183E30F18}" xr6:coauthVersionLast="47" xr6:coauthVersionMax="47" xr10:uidLastSave="{00000000-0000-0000-0000-000000000000}"/>
  <bookViews>
    <workbookView xWindow="1536" yWindow="1476" windowWidth="20340" windowHeight="11484" xr2:uid="{00000000-000D-0000-FFFF-FFFF00000000}"/>
  </bookViews>
  <sheets>
    <sheet name="Overall Scores" sheetId="1" r:id="rId1"/>
    <sheet name="Trophies &amp; Certificates" sheetId="2" r:id="rId2"/>
    <sheet name="DE Bracket Artemis (13)" sheetId="3" r:id="rId3"/>
    <sheet name="DE Bracket Apollo (12)" sheetId="4" r:id="rId4"/>
    <sheet name="DE Bracket Surveyor (9)" sheetId="5" r:id="rId5"/>
    <sheet name="DE Bracket Ranger (14)" sheetId="6" r:id="rId6"/>
    <sheet name="Combined Seeding" sheetId="7" r:id="rId7"/>
    <sheet name="Seeding Scores" sheetId="8" r:id="rId8"/>
    <sheet name="Double Seeding Score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9" l="1"/>
  <c r="I49" i="9"/>
  <c r="H49" i="9"/>
  <c r="G49" i="9"/>
  <c r="F49" i="9"/>
  <c r="E49" i="9"/>
  <c r="D49" i="9"/>
  <c r="C49" i="9"/>
  <c r="B49" i="9"/>
  <c r="A49" i="9"/>
  <c r="J48" i="9"/>
  <c r="I48" i="9"/>
  <c r="H48" i="9"/>
  <c r="G48" i="9"/>
  <c r="F48" i="9"/>
  <c r="E48" i="9"/>
  <c r="D48" i="9"/>
  <c r="C48" i="9"/>
  <c r="B48" i="9"/>
  <c r="A48" i="9"/>
  <c r="J47" i="9"/>
  <c r="I47" i="9"/>
  <c r="H47" i="9"/>
  <c r="G47" i="9"/>
  <c r="F47" i="9"/>
  <c r="E47" i="9"/>
  <c r="D47" i="9"/>
  <c r="C47" i="9"/>
  <c r="B47" i="9"/>
  <c r="A47" i="9"/>
  <c r="J46" i="9"/>
  <c r="I46" i="9"/>
  <c r="H46" i="9"/>
  <c r="G46" i="9"/>
  <c r="F46" i="9"/>
  <c r="E46" i="9"/>
  <c r="D46" i="9"/>
  <c r="C46" i="9"/>
  <c r="B46" i="9"/>
  <c r="A46" i="9"/>
  <c r="J45" i="9"/>
  <c r="I45" i="9"/>
  <c r="H45" i="9"/>
  <c r="G45" i="9"/>
  <c r="F45" i="9"/>
  <c r="E45" i="9"/>
  <c r="D45" i="9"/>
  <c r="C45" i="9"/>
  <c r="B45" i="9"/>
  <c r="A45" i="9"/>
  <c r="J44" i="9"/>
  <c r="I44" i="9"/>
  <c r="H44" i="9"/>
  <c r="G44" i="9"/>
  <c r="F44" i="9"/>
  <c r="E44" i="9"/>
  <c r="D44" i="9"/>
  <c r="C44" i="9"/>
  <c r="B44" i="9"/>
  <c r="A44" i="9"/>
  <c r="J43" i="9"/>
  <c r="I43" i="9"/>
  <c r="H43" i="9"/>
  <c r="G43" i="9"/>
  <c r="F43" i="9"/>
  <c r="E43" i="9"/>
  <c r="D43" i="9"/>
  <c r="C43" i="9"/>
  <c r="B43" i="9"/>
  <c r="A43" i="9"/>
  <c r="J42" i="9"/>
  <c r="I42" i="9"/>
  <c r="H42" i="9"/>
  <c r="G42" i="9"/>
  <c r="F42" i="9"/>
  <c r="E42" i="9"/>
  <c r="D42" i="9"/>
  <c r="C42" i="9"/>
  <c r="B42" i="9"/>
  <c r="A42" i="9"/>
  <c r="J41" i="9"/>
  <c r="I41" i="9"/>
  <c r="H41" i="9"/>
  <c r="G41" i="9"/>
  <c r="F41" i="9"/>
  <c r="E41" i="9"/>
  <c r="D41" i="9"/>
  <c r="C41" i="9"/>
  <c r="B41" i="9"/>
  <c r="A41" i="9"/>
  <c r="J40" i="9"/>
  <c r="I40" i="9"/>
  <c r="H40" i="9"/>
  <c r="G40" i="9"/>
  <c r="F40" i="9"/>
  <c r="E40" i="9"/>
  <c r="D40" i="9"/>
  <c r="C40" i="9"/>
  <c r="B40" i="9"/>
  <c r="A40" i="9"/>
  <c r="J39" i="9"/>
  <c r="I39" i="9"/>
  <c r="H39" i="9"/>
  <c r="G39" i="9"/>
  <c r="F39" i="9"/>
  <c r="E39" i="9"/>
  <c r="D39" i="9"/>
  <c r="C39" i="9"/>
  <c r="B39" i="9"/>
  <c r="A39" i="9"/>
  <c r="J38" i="9"/>
  <c r="I38" i="9"/>
  <c r="H38" i="9"/>
  <c r="G38" i="9"/>
  <c r="F38" i="9"/>
  <c r="E38" i="9"/>
  <c r="D38" i="9"/>
  <c r="C38" i="9"/>
  <c r="B38" i="9"/>
  <c r="A38" i="9"/>
  <c r="J37" i="9"/>
  <c r="I37" i="9"/>
  <c r="H37" i="9"/>
  <c r="G37" i="9"/>
  <c r="F37" i="9"/>
  <c r="E37" i="9"/>
  <c r="D37" i="9"/>
  <c r="C37" i="9"/>
  <c r="B37" i="9"/>
  <c r="A37" i="9"/>
  <c r="J36" i="9"/>
  <c r="I36" i="9"/>
  <c r="H36" i="9"/>
  <c r="G36" i="9"/>
  <c r="F36" i="9"/>
  <c r="E36" i="9"/>
  <c r="D36" i="9"/>
  <c r="C36" i="9"/>
  <c r="B36" i="9"/>
  <c r="A36" i="9"/>
  <c r="J35" i="9"/>
  <c r="I35" i="9"/>
  <c r="H35" i="9"/>
  <c r="G35" i="9"/>
  <c r="F35" i="9"/>
  <c r="E35" i="9"/>
  <c r="D35" i="9"/>
  <c r="C35" i="9"/>
  <c r="B35" i="9"/>
  <c r="A35" i="9"/>
  <c r="J34" i="9"/>
  <c r="I34" i="9"/>
  <c r="H34" i="9"/>
  <c r="G34" i="9"/>
  <c r="F34" i="9"/>
  <c r="E34" i="9"/>
  <c r="D34" i="9"/>
  <c r="C34" i="9"/>
  <c r="B34" i="9"/>
  <c r="A34" i="9"/>
  <c r="J33" i="9"/>
  <c r="I33" i="9"/>
  <c r="H33" i="9"/>
  <c r="G33" i="9"/>
  <c r="F33" i="9"/>
  <c r="E33" i="9"/>
  <c r="D33" i="9"/>
  <c r="C33" i="9"/>
  <c r="B33" i="9"/>
  <c r="A33" i="9"/>
  <c r="J32" i="9"/>
  <c r="I32" i="9"/>
  <c r="H32" i="9"/>
  <c r="G32" i="9"/>
  <c r="F32" i="9"/>
  <c r="E32" i="9"/>
  <c r="D32" i="9"/>
  <c r="C32" i="9"/>
  <c r="B32" i="9"/>
  <c r="A32" i="9"/>
  <c r="J31" i="9"/>
  <c r="I31" i="9"/>
  <c r="H31" i="9"/>
  <c r="G31" i="9"/>
  <c r="F31" i="9"/>
  <c r="E31" i="9"/>
  <c r="D31" i="9"/>
  <c r="C31" i="9"/>
  <c r="B31" i="9"/>
  <c r="A31" i="9"/>
  <c r="J30" i="9"/>
  <c r="I30" i="9"/>
  <c r="H30" i="9"/>
  <c r="G30" i="9"/>
  <c r="F30" i="9"/>
  <c r="E30" i="9"/>
  <c r="D30" i="9"/>
  <c r="C30" i="9"/>
  <c r="B30" i="9"/>
  <c r="A30" i="9"/>
  <c r="J29" i="9"/>
  <c r="I29" i="9"/>
  <c r="H29" i="9"/>
  <c r="G29" i="9"/>
  <c r="F29" i="9"/>
  <c r="E29" i="9"/>
  <c r="D29" i="9"/>
  <c r="C29" i="9"/>
  <c r="B29" i="9"/>
  <c r="A29" i="9"/>
  <c r="J28" i="9"/>
  <c r="I28" i="9"/>
  <c r="H28" i="9"/>
  <c r="G28" i="9"/>
  <c r="F28" i="9"/>
  <c r="E28" i="9"/>
  <c r="D28" i="9"/>
  <c r="C28" i="9"/>
  <c r="B28" i="9"/>
  <c r="A28" i="9"/>
  <c r="J27" i="9"/>
  <c r="I27" i="9"/>
  <c r="H27" i="9"/>
  <c r="G27" i="9"/>
  <c r="F27" i="9"/>
  <c r="E27" i="9"/>
  <c r="D27" i="9"/>
  <c r="C27" i="9"/>
  <c r="B27" i="9"/>
  <c r="A27" i="9"/>
  <c r="J26" i="9"/>
  <c r="I26" i="9"/>
  <c r="H26" i="9"/>
  <c r="G26" i="9"/>
  <c r="F26" i="9"/>
  <c r="E26" i="9"/>
  <c r="D26" i="9"/>
  <c r="C26" i="9"/>
  <c r="B26" i="9"/>
  <c r="A26" i="9"/>
  <c r="J25" i="9"/>
  <c r="I25" i="9"/>
  <c r="H25" i="9"/>
  <c r="G25" i="9"/>
  <c r="F25" i="9"/>
  <c r="E25" i="9"/>
  <c r="D25" i="9"/>
  <c r="C25" i="9"/>
  <c r="B25" i="9"/>
  <c r="A25" i="9"/>
  <c r="J24" i="9"/>
  <c r="I24" i="9"/>
  <c r="H24" i="9"/>
  <c r="G24" i="9"/>
  <c r="F24" i="9"/>
  <c r="E24" i="9"/>
  <c r="D24" i="9"/>
  <c r="C24" i="9"/>
  <c r="B24" i="9"/>
  <c r="A24" i="9"/>
  <c r="J23" i="9"/>
  <c r="I23" i="9"/>
  <c r="H23" i="9"/>
  <c r="G23" i="9"/>
  <c r="F23" i="9"/>
  <c r="E23" i="9"/>
  <c r="D23" i="9"/>
  <c r="C23" i="9"/>
  <c r="B23" i="9"/>
  <c r="A23" i="9"/>
  <c r="J22" i="9"/>
  <c r="I22" i="9"/>
  <c r="H22" i="9"/>
  <c r="G22" i="9"/>
  <c r="F22" i="9"/>
  <c r="E22" i="9"/>
  <c r="D22" i="9"/>
  <c r="C22" i="9"/>
  <c r="B22" i="9"/>
  <c r="A22" i="9"/>
  <c r="J21" i="9"/>
  <c r="I21" i="9"/>
  <c r="H21" i="9"/>
  <c r="G21" i="9"/>
  <c r="F21" i="9"/>
  <c r="E21" i="9"/>
  <c r="D21" i="9"/>
  <c r="C21" i="9"/>
  <c r="B21" i="9"/>
  <c r="A21" i="9"/>
  <c r="J20" i="9"/>
  <c r="I20" i="9"/>
  <c r="H20" i="9"/>
  <c r="G20" i="9"/>
  <c r="F20" i="9"/>
  <c r="E20" i="9"/>
  <c r="D20" i="9"/>
  <c r="C20" i="9"/>
  <c r="B20" i="9"/>
  <c r="A20" i="9"/>
  <c r="J19" i="9"/>
  <c r="I19" i="9"/>
  <c r="H19" i="9"/>
  <c r="G19" i="9"/>
  <c r="F19" i="9"/>
  <c r="E19" i="9"/>
  <c r="D19" i="9"/>
  <c r="C19" i="9"/>
  <c r="B19" i="9"/>
  <c r="A19" i="9"/>
  <c r="J18" i="9"/>
  <c r="I18" i="9"/>
  <c r="H18" i="9"/>
  <c r="G18" i="9"/>
  <c r="F18" i="9"/>
  <c r="E18" i="9"/>
  <c r="D18" i="9"/>
  <c r="C18" i="9"/>
  <c r="B18" i="9"/>
  <c r="A18" i="9"/>
  <c r="J17" i="9"/>
  <c r="I17" i="9"/>
  <c r="H17" i="9"/>
  <c r="G17" i="9"/>
  <c r="F17" i="9"/>
  <c r="E17" i="9"/>
  <c r="D17" i="9"/>
  <c r="C17" i="9"/>
  <c r="B17" i="9"/>
  <c r="A17" i="9"/>
  <c r="J16" i="9"/>
  <c r="I16" i="9"/>
  <c r="H16" i="9"/>
  <c r="G16" i="9"/>
  <c r="F16" i="9"/>
  <c r="E16" i="9"/>
  <c r="D16" i="9"/>
  <c r="C16" i="9"/>
  <c r="B16" i="9"/>
  <c r="A16" i="9"/>
  <c r="J15" i="9"/>
  <c r="I15" i="9"/>
  <c r="H15" i="9"/>
  <c r="G15" i="9"/>
  <c r="F15" i="9"/>
  <c r="E15" i="9"/>
  <c r="D15" i="9"/>
  <c r="C15" i="9"/>
  <c r="B15" i="9"/>
  <c r="A15" i="9"/>
  <c r="J14" i="9"/>
  <c r="I14" i="9"/>
  <c r="H14" i="9"/>
  <c r="G14" i="9"/>
  <c r="F14" i="9"/>
  <c r="E14" i="9"/>
  <c r="D14" i="9"/>
  <c r="C14" i="9"/>
  <c r="B14" i="9"/>
  <c r="A14" i="9"/>
  <c r="J13" i="9"/>
  <c r="I13" i="9"/>
  <c r="H13" i="9"/>
  <c r="G13" i="9"/>
  <c r="F13" i="9"/>
  <c r="E13" i="9"/>
  <c r="D13" i="9"/>
  <c r="C13" i="9"/>
  <c r="B13" i="9"/>
  <c r="A13" i="9"/>
  <c r="J12" i="9"/>
  <c r="I12" i="9"/>
  <c r="H12" i="9"/>
  <c r="G12" i="9"/>
  <c r="F12" i="9"/>
  <c r="E12" i="9"/>
  <c r="D12" i="9"/>
  <c r="C12" i="9"/>
  <c r="B12" i="9"/>
  <c r="A12" i="9"/>
  <c r="J11" i="9"/>
  <c r="I11" i="9"/>
  <c r="H11" i="9"/>
  <c r="G11" i="9"/>
  <c r="F11" i="9"/>
  <c r="E11" i="9"/>
  <c r="D11" i="9"/>
  <c r="C11" i="9"/>
  <c r="B11" i="9"/>
  <c r="A11" i="9"/>
  <c r="J10" i="9"/>
  <c r="I10" i="9"/>
  <c r="H10" i="9"/>
  <c r="G10" i="9"/>
  <c r="F10" i="9"/>
  <c r="E10" i="9"/>
  <c r="D10" i="9"/>
  <c r="C10" i="9"/>
  <c r="B10" i="9"/>
  <c r="A10" i="9"/>
  <c r="J9" i="9"/>
  <c r="I9" i="9"/>
  <c r="H9" i="9"/>
  <c r="G9" i="9"/>
  <c r="F9" i="9"/>
  <c r="E9" i="9"/>
  <c r="D9" i="9"/>
  <c r="C9" i="9"/>
  <c r="B9" i="9"/>
  <c r="A9" i="9"/>
  <c r="J8" i="9"/>
  <c r="I8" i="9"/>
  <c r="H8" i="9"/>
  <c r="G8" i="9"/>
  <c r="F8" i="9"/>
  <c r="E8" i="9"/>
  <c r="D8" i="9"/>
  <c r="C8" i="9"/>
  <c r="B8" i="9"/>
  <c r="A8" i="9"/>
  <c r="J7" i="9"/>
  <c r="I7" i="9"/>
  <c r="H7" i="9"/>
  <c r="G7" i="9"/>
  <c r="F7" i="9"/>
  <c r="E7" i="9"/>
  <c r="D7" i="9"/>
  <c r="C7" i="9"/>
  <c r="B7" i="9"/>
  <c r="A7" i="9"/>
  <c r="J6" i="9"/>
  <c r="I6" i="9"/>
  <c r="H6" i="9"/>
  <c r="G6" i="9"/>
  <c r="F6" i="9"/>
  <c r="E6" i="9"/>
  <c r="D6" i="9"/>
  <c r="C6" i="9"/>
  <c r="B6" i="9"/>
  <c r="A6" i="9"/>
  <c r="J5" i="9"/>
  <c r="I5" i="9"/>
  <c r="H5" i="9"/>
  <c r="G5" i="9"/>
  <c r="F5" i="9"/>
  <c r="E5" i="9"/>
  <c r="D5" i="9"/>
  <c r="C5" i="9"/>
  <c r="B5" i="9"/>
  <c r="A5" i="9"/>
  <c r="J4" i="9"/>
  <c r="I4" i="9"/>
  <c r="H4" i="9"/>
  <c r="G4" i="9"/>
  <c r="F4" i="9"/>
  <c r="E4" i="9"/>
  <c r="D4" i="9"/>
  <c r="C4" i="9"/>
  <c r="B4" i="9"/>
  <c r="A4" i="9"/>
  <c r="J3" i="9"/>
  <c r="I3" i="9"/>
  <c r="H3" i="9"/>
  <c r="G3" i="9"/>
  <c r="F3" i="9"/>
  <c r="E3" i="9"/>
  <c r="D3" i="9"/>
  <c r="C3" i="9"/>
  <c r="B3" i="9"/>
  <c r="A3" i="9"/>
  <c r="J2" i="9"/>
  <c r="I2" i="9"/>
  <c r="H2" i="9"/>
  <c r="G2" i="9"/>
  <c r="F2" i="9"/>
  <c r="E2" i="9"/>
  <c r="D2" i="9"/>
  <c r="C2" i="9"/>
  <c r="B2" i="9"/>
  <c r="A2" i="9"/>
  <c r="J1" i="9"/>
  <c r="I1" i="9"/>
  <c r="H1" i="9"/>
  <c r="G1" i="9"/>
  <c r="F1" i="9"/>
  <c r="E1" i="9"/>
  <c r="D1" i="9"/>
  <c r="C1" i="9"/>
  <c r="B1" i="9"/>
  <c r="A1" i="9"/>
  <c r="H49" i="8"/>
  <c r="G49" i="8"/>
  <c r="F49" i="8"/>
  <c r="E49" i="8"/>
  <c r="D49" i="8"/>
  <c r="C49" i="8"/>
  <c r="B49" i="8"/>
  <c r="A49" i="8"/>
  <c r="H48" i="8"/>
  <c r="G48" i="8"/>
  <c r="F48" i="8"/>
  <c r="E48" i="8"/>
  <c r="D48" i="8"/>
  <c r="C48" i="8"/>
  <c r="B48" i="8"/>
  <c r="A48" i="8"/>
  <c r="H47" i="8"/>
  <c r="G47" i="8"/>
  <c r="F47" i="8"/>
  <c r="E47" i="8"/>
  <c r="D47" i="8"/>
  <c r="C47" i="8"/>
  <c r="B47" i="8"/>
  <c r="A47" i="8"/>
  <c r="H46" i="8"/>
  <c r="G46" i="8"/>
  <c r="F46" i="8"/>
  <c r="E46" i="8"/>
  <c r="D46" i="8"/>
  <c r="C46" i="8"/>
  <c r="B46" i="8"/>
  <c r="A46" i="8"/>
  <c r="H45" i="8"/>
  <c r="G45" i="8"/>
  <c r="F45" i="8"/>
  <c r="E45" i="8"/>
  <c r="D45" i="8"/>
  <c r="C45" i="8"/>
  <c r="B45" i="8"/>
  <c r="A45" i="8"/>
  <c r="H44" i="8"/>
  <c r="G44" i="8"/>
  <c r="F44" i="8"/>
  <c r="E44" i="8"/>
  <c r="D44" i="8"/>
  <c r="C44" i="8"/>
  <c r="B44" i="8"/>
  <c r="A44" i="8"/>
  <c r="H43" i="8"/>
  <c r="G43" i="8"/>
  <c r="F43" i="8"/>
  <c r="E43" i="8"/>
  <c r="D43" i="8"/>
  <c r="C43" i="8"/>
  <c r="B43" i="8"/>
  <c r="A43" i="8"/>
  <c r="H42" i="8"/>
  <c r="G42" i="8"/>
  <c r="F42" i="8"/>
  <c r="E42" i="8"/>
  <c r="D42" i="8"/>
  <c r="C42" i="8"/>
  <c r="B42" i="8"/>
  <c r="A42" i="8"/>
  <c r="H41" i="8"/>
  <c r="G41" i="8"/>
  <c r="F41" i="8"/>
  <c r="E41" i="8"/>
  <c r="D41" i="8"/>
  <c r="C41" i="8"/>
  <c r="B41" i="8"/>
  <c r="A41" i="8"/>
  <c r="H40" i="8"/>
  <c r="G40" i="8"/>
  <c r="F40" i="8"/>
  <c r="E40" i="8"/>
  <c r="D40" i="8"/>
  <c r="C40" i="8"/>
  <c r="B40" i="8"/>
  <c r="A40" i="8"/>
  <c r="H39" i="8"/>
  <c r="G39" i="8"/>
  <c r="F39" i="8"/>
  <c r="E39" i="8"/>
  <c r="D39" i="8"/>
  <c r="C39" i="8"/>
  <c r="B39" i="8"/>
  <c r="A39" i="8"/>
  <c r="H38" i="8"/>
  <c r="G38" i="8"/>
  <c r="F38" i="8"/>
  <c r="E38" i="8"/>
  <c r="D38" i="8"/>
  <c r="C38" i="8"/>
  <c r="B38" i="8"/>
  <c r="A38" i="8"/>
  <c r="H37" i="8"/>
  <c r="G37" i="8"/>
  <c r="F37" i="8"/>
  <c r="E37" i="8"/>
  <c r="D37" i="8"/>
  <c r="C37" i="8"/>
  <c r="B37" i="8"/>
  <c r="A37" i="8"/>
  <c r="H36" i="8"/>
  <c r="G36" i="8"/>
  <c r="F36" i="8"/>
  <c r="E36" i="8"/>
  <c r="D36" i="8"/>
  <c r="C36" i="8"/>
  <c r="B36" i="8"/>
  <c r="A36" i="8"/>
  <c r="H35" i="8"/>
  <c r="G35" i="8"/>
  <c r="F35" i="8"/>
  <c r="E35" i="8"/>
  <c r="D35" i="8"/>
  <c r="C35" i="8"/>
  <c r="B35" i="8"/>
  <c r="A35" i="8"/>
  <c r="H34" i="8"/>
  <c r="G34" i="8"/>
  <c r="F34" i="8"/>
  <c r="E34" i="8"/>
  <c r="D34" i="8"/>
  <c r="C34" i="8"/>
  <c r="B34" i="8"/>
  <c r="A34" i="8"/>
  <c r="H33" i="8"/>
  <c r="G33" i="8"/>
  <c r="F33" i="8"/>
  <c r="E33" i="8"/>
  <c r="D33" i="8"/>
  <c r="C33" i="8"/>
  <c r="B33" i="8"/>
  <c r="A33" i="8"/>
  <c r="H32" i="8"/>
  <c r="G32" i="8"/>
  <c r="F32" i="8"/>
  <c r="E32" i="8"/>
  <c r="D32" i="8"/>
  <c r="C32" i="8"/>
  <c r="B32" i="8"/>
  <c r="A32" i="8"/>
  <c r="H31" i="8"/>
  <c r="G31" i="8"/>
  <c r="F31" i="8"/>
  <c r="E31" i="8"/>
  <c r="D31" i="8"/>
  <c r="C31" i="8"/>
  <c r="B31" i="8"/>
  <c r="A31" i="8"/>
  <c r="H30" i="8"/>
  <c r="G30" i="8"/>
  <c r="F30" i="8"/>
  <c r="E30" i="8"/>
  <c r="D30" i="8"/>
  <c r="C30" i="8"/>
  <c r="B30" i="8"/>
  <c r="A30" i="8"/>
  <c r="H29" i="8"/>
  <c r="G29" i="8"/>
  <c r="F29" i="8"/>
  <c r="E29" i="8"/>
  <c r="D29" i="8"/>
  <c r="C29" i="8"/>
  <c r="B29" i="8"/>
  <c r="A29" i="8"/>
  <c r="H28" i="8"/>
  <c r="G28" i="8"/>
  <c r="F28" i="8"/>
  <c r="E28" i="8"/>
  <c r="D28" i="8"/>
  <c r="C28" i="8"/>
  <c r="B28" i="8"/>
  <c r="A28" i="8"/>
  <c r="H27" i="8"/>
  <c r="G27" i="8"/>
  <c r="F27" i="8"/>
  <c r="E27" i="8"/>
  <c r="D27" i="8"/>
  <c r="C27" i="8"/>
  <c r="B27" i="8"/>
  <c r="A27" i="8"/>
  <c r="H26" i="8"/>
  <c r="G26" i="8"/>
  <c r="F26" i="8"/>
  <c r="E26" i="8"/>
  <c r="D26" i="8"/>
  <c r="C26" i="8"/>
  <c r="B26" i="8"/>
  <c r="A26" i="8"/>
  <c r="H25" i="8"/>
  <c r="G25" i="8"/>
  <c r="F25" i="8"/>
  <c r="E25" i="8"/>
  <c r="D25" i="8"/>
  <c r="C25" i="8"/>
  <c r="B25" i="8"/>
  <c r="A25" i="8"/>
  <c r="H24" i="8"/>
  <c r="G24" i="8"/>
  <c r="F24" i="8"/>
  <c r="E24" i="8"/>
  <c r="D24" i="8"/>
  <c r="C24" i="8"/>
  <c r="B24" i="8"/>
  <c r="A24" i="8"/>
  <c r="H23" i="8"/>
  <c r="G23" i="8"/>
  <c r="F23" i="8"/>
  <c r="E23" i="8"/>
  <c r="D23" i="8"/>
  <c r="C23" i="8"/>
  <c r="B23" i="8"/>
  <c r="A23" i="8"/>
  <c r="H22" i="8"/>
  <c r="G22" i="8"/>
  <c r="F22" i="8"/>
  <c r="E22" i="8"/>
  <c r="D22" i="8"/>
  <c r="C22" i="8"/>
  <c r="B22" i="8"/>
  <c r="A22" i="8"/>
  <c r="H21" i="8"/>
  <c r="G21" i="8"/>
  <c r="F21" i="8"/>
  <c r="E21" i="8"/>
  <c r="D21" i="8"/>
  <c r="C21" i="8"/>
  <c r="B21" i="8"/>
  <c r="A21" i="8"/>
  <c r="H20" i="8"/>
  <c r="G20" i="8"/>
  <c r="F20" i="8"/>
  <c r="E20" i="8"/>
  <c r="D20" i="8"/>
  <c r="C20" i="8"/>
  <c r="B20" i="8"/>
  <c r="A20" i="8"/>
  <c r="H19" i="8"/>
  <c r="G19" i="8"/>
  <c r="F19" i="8"/>
  <c r="E19" i="8"/>
  <c r="D19" i="8"/>
  <c r="C19" i="8"/>
  <c r="B19" i="8"/>
  <c r="A19" i="8"/>
  <c r="H18" i="8"/>
  <c r="G18" i="8"/>
  <c r="F18" i="8"/>
  <c r="E18" i="8"/>
  <c r="D18" i="8"/>
  <c r="C18" i="8"/>
  <c r="B18" i="8"/>
  <c r="A18" i="8"/>
  <c r="H17" i="8"/>
  <c r="G17" i="8"/>
  <c r="F17" i="8"/>
  <c r="E17" i="8"/>
  <c r="D17" i="8"/>
  <c r="C17" i="8"/>
  <c r="B17" i="8"/>
  <c r="A17" i="8"/>
  <c r="H16" i="8"/>
  <c r="G16" i="8"/>
  <c r="F16" i="8"/>
  <c r="E16" i="8"/>
  <c r="D16" i="8"/>
  <c r="C16" i="8"/>
  <c r="B16" i="8"/>
  <c r="A16" i="8"/>
  <c r="H15" i="8"/>
  <c r="G15" i="8"/>
  <c r="F15" i="8"/>
  <c r="E15" i="8"/>
  <c r="D15" i="8"/>
  <c r="C15" i="8"/>
  <c r="B15" i="8"/>
  <c r="A15" i="8"/>
  <c r="H14" i="8"/>
  <c r="G14" i="8"/>
  <c r="F14" i="8"/>
  <c r="E14" i="8"/>
  <c r="D14" i="8"/>
  <c r="C14" i="8"/>
  <c r="B14" i="8"/>
  <c r="A14" i="8"/>
  <c r="H13" i="8"/>
  <c r="G13" i="8"/>
  <c r="F13" i="8"/>
  <c r="E13" i="8"/>
  <c r="D13" i="8"/>
  <c r="C13" i="8"/>
  <c r="B13" i="8"/>
  <c r="A13" i="8"/>
  <c r="H12" i="8"/>
  <c r="G12" i="8"/>
  <c r="F12" i="8"/>
  <c r="E12" i="8"/>
  <c r="D12" i="8"/>
  <c r="C12" i="8"/>
  <c r="B12" i="8"/>
  <c r="A12" i="8"/>
  <c r="H11" i="8"/>
  <c r="G11" i="8"/>
  <c r="F11" i="8"/>
  <c r="E11" i="8"/>
  <c r="D11" i="8"/>
  <c r="C11" i="8"/>
  <c r="B11" i="8"/>
  <c r="A11" i="8"/>
  <c r="H10" i="8"/>
  <c r="G10" i="8"/>
  <c r="F10" i="8"/>
  <c r="E10" i="8"/>
  <c r="D10" i="8"/>
  <c r="C10" i="8"/>
  <c r="B10" i="8"/>
  <c r="A10" i="8"/>
  <c r="H9" i="8"/>
  <c r="G9" i="8"/>
  <c r="F9" i="8"/>
  <c r="E9" i="8"/>
  <c r="D9" i="8"/>
  <c r="C9" i="8"/>
  <c r="B9" i="8"/>
  <c r="A9" i="8"/>
  <c r="H8" i="8"/>
  <c r="G8" i="8"/>
  <c r="F8" i="8"/>
  <c r="E8" i="8"/>
  <c r="D8" i="8"/>
  <c r="C8" i="8"/>
  <c r="B8" i="8"/>
  <c r="A8" i="8"/>
  <c r="H7" i="8"/>
  <c r="G7" i="8"/>
  <c r="F7" i="8"/>
  <c r="E7" i="8"/>
  <c r="D7" i="8"/>
  <c r="C7" i="8"/>
  <c r="B7" i="8"/>
  <c r="A7" i="8"/>
  <c r="H6" i="8"/>
  <c r="G6" i="8"/>
  <c r="F6" i="8"/>
  <c r="E6" i="8"/>
  <c r="D6" i="8"/>
  <c r="C6" i="8"/>
  <c r="B6" i="8"/>
  <c r="A6" i="8"/>
  <c r="H5" i="8"/>
  <c r="G5" i="8"/>
  <c r="F5" i="8"/>
  <c r="E5" i="8"/>
  <c r="D5" i="8"/>
  <c r="C5" i="8"/>
  <c r="B5" i="8"/>
  <c r="A5" i="8"/>
  <c r="H4" i="8"/>
  <c r="G4" i="8"/>
  <c r="F4" i="8"/>
  <c r="E4" i="8"/>
  <c r="D4" i="8"/>
  <c r="C4" i="8"/>
  <c r="B4" i="8"/>
  <c r="A4" i="8"/>
  <c r="H3" i="8"/>
  <c r="G3" i="8"/>
  <c r="F3" i="8"/>
  <c r="E3" i="8"/>
  <c r="D3" i="8"/>
  <c r="C3" i="8"/>
  <c r="B3" i="8"/>
  <c r="A3" i="8"/>
  <c r="H2" i="8"/>
  <c r="G2" i="8"/>
  <c r="F2" i="8"/>
  <c r="E2" i="8"/>
  <c r="D2" i="8"/>
  <c r="C2" i="8"/>
  <c r="B2" i="8"/>
  <c r="A2" i="8"/>
  <c r="H1" i="8"/>
  <c r="G1" i="8"/>
  <c r="F1" i="8"/>
  <c r="E1" i="8"/>
  <c r="D1" i="8"/>
  <c r="C1" i="8"/>
  <c r="B1" i="8"/>
  <c r="A1" i="8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3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A1" i="7"/>
  <c r="B53" i="6"/>
  <c r="D52" i="6"/>
  <c r="B52" i="6"/>
  <c r="F51" i="6"/>
  <c r="D51" i="6"/>
  <c r="B51" i="6"/>
  <c r="D50" i="6"/>
  <c r="H49" i="6"/>
  <c r="B49" i="6"/>
  <c r="F48" i="6"/>
  <c r="D48" i="6"/>
  <c r="B48" i="6"/>
  <c r="J47" i="6"/>
  <c r="F47" i="6"/>
  <c r="D47" i="6"/>
  <c r="B47" i="6"/>
  <c r="H46" i="6"/>
  <c r="D46" i="6"/>
  <c r="H45" i="6"/>
  <c r="B45" i="6"/>
  <c r="D44" i="6"/>
  <c r="B44" i="6"/>
  <c r="L43" i="6"/>
  <c r="F43" i="6"/>
  <c r="D43" i="6"/>
  <c r="B43" i="6"/>
  <c r="D42" i="6"/>
  <c r="H41" i="6"/>
  <c r="B41" i="6"/>
  <c r="J40" i="6"/>
  <c r="F40" i="6"/>
  <c r="D40" i="6"/>
  <c r="B40" i="6"/>
  <c r="N39" i="6"/>
  <c r="J39" i="6"/>
  <c r="F39" i="6"/>
  <c r="D39" i="6"/>
  <c r="B39" i="6"/>
  <c r="H38" i="6"/>
  <c r="D38" i="6"/>
  <c r="H37" i="6"/>
  <c r="L36" i="6"/>
  <c r="L35" i="6"/>
  <c r="B35" i="6"/>
  <c r="Q34" i="6"/>
  <c r="B33" i="6"/>
  <c r="A33" i="6"/>
  <c r="E32" i="6"/>
  <c r="B32" i="6"/>
  <c r="A32" i="6"/>
  <c r="S31" i="6"/>
  <c r="B31" i="6"/>
  <c r="H30" i="6"/>
  <c r="Q29" i="6"/>
  <c r="E29" i="6"/>
  <c r="B29" i="6"/>
  <c r="A29" i="6"/>
  <c r="P28" i="6"/>
  <c r="E28" i="6"/>
  <c r="B28" i="6"/>
  <c r="A28" i="6"/>
  <c r="B27" i="6"/>
  <c r="K26" i="6"/>
  <c r="B25" i="6"/>
  <c r="A25" i="6"/>
  <c r="E24" i="6"/>
  <c r="B24" i="6"/>
  <c r="A24" i="6"/>
  <c r="H23" i="6"/>
  <c r="B23" i="6"/>
  <c r="H22" i="6"/>
  <c r="E21" i="6"/>
  <c r="B21" i="6"/>
  <c r="A21" i="6"/>
  <c r="E20" i="6"/>
  <c r="B20" i="6"/>
  <c r="A20" i="6"/>
  <c r="N19" i="6"/>
  <c r="B19" i="6"/>
  <c r="N18" i="6"/>
  <c r="B17" i="6"/>
  <c r="A17" i="6"/>
  <c r="E16" i="6"/>
  <c r="B16" i="6"/>
  <c r="A16" i="6"/>
  <c r="B15" i="6"/>
  <c r="H14" i="6"/>
  <c r="E13" i="6"/>
  <c r="B13" i="6"/>
  <c r="A13" i="6"/>
  <c r="E12" i="6"/>
  <c r="B12" i="6"/>
  <c r="A12" i="6"/>
  <c r="K11" i="6"/>
  <c r="B11" i="6"/>
  <c r="K10" i="6"/>
  <c r="B9" i="6"/>
  <c r="A9" i="6"/>
  <c r="E8" i="6"/>
  <c r="B8" i="6"/>
  <c r="A8" i="6"/>
  <c r="H7" i="6"/>
  <c r="B7" i="6"/>
  <c r="H6" i="6"/>
  <c r="E5" i="6"/>
  <c r="B5" i="6"/>
  <c r="A5" i="6"/>
  <c r="E4" i="6"/>
  <c r="B4" i="6"/>
  <c r="A4" i="6"/>
  <c r="B3" i="6"/>
  <c r="A3" i="6"/>
  <c r="K2" i="6"/>
  <c r="B1" i="6"/>
  <c r="A1" i="6"/>
  <c r="B53" i="5"/>
  <c r="D52" i="5"/>
  <c r="B52" i="5"/>
  <c r="F51" i="5"/>
  <c r="D51" i="5"/>
  <c r="B51" i="5"/>
  <c r="D50" i="5"/>
  <c r="H49" i="5"/>
  <c r="B49" i="5"/>
  <c r="F48" i="5"/>
  <c r="D48" i="5"/>
  <c r="B48" i="5"/>
  <c r="J47" i="5"/>
  <c r="F47" i="5"/>
  <c r="D47" i="5"/>
  <c r="B47" i="5"/>
  <c r="H46" i="5"/>
  <c r="D46" i="5"/>
  <c r="H45" i="5"/>
  <c r="B45" i="5"/>
  <c r="D44" i="5"/>
  <c r="B44" i="5"/>
  <c r="L43" i="5"/>
  <c r="F43" i="5"/>
  <c r="D43" i="5"/>
  <c r="B43" i="5"/>
  <c r="D42" i="5"/>
  <c r="H41" i="5"/>
  <c r="B41" i="5"/>
  <c r="J40" i="5"/>
  <c r="F40" i="5"/>
  <c r="D40" i="5"/>
  <c r="B40" i="5"/>
  <c r="N39" i="5"/>
  <c r="J39" i="5"/>
  <c r="F39" i="5"/>
  <c r="D39" i="5"/>
  <c r="B39" i="5"/>
  <c r="H38" i="5"/>
  <c r="D38" i="5"/>
  <c r="H37" i="5"/>
  <c r="L36" i="5"/>
  <c r="L35" i="5"/>
  <c r="B35" i="5"/>
  <c r="Q34" i="5"/>
  <c r="B33" i="5"/>
  <c r="A33" i="5"/>
  <c r="E32" i="5"/>
  <c r="B32" i="5"/>
  <c r="A32" i="5"/>
  <c r="S31" i="5"/>
  <c r="B31" i="5"/>
  <c r="H30" i="5"/>
  <c r="Q29" i="5"/>
  <c r="E29" i="5"/>
  <c r="B29" i="5"/>
  <c r="A29" i="5"/>
  <c r="P28" i="5"/>
  <c r="E28" i="5"/>
  <c r="B28" i="5"/>
  <c r="A28" i="5"/>
  <c r="B27" i="5"/>
  <c r="K26" i="5"/>
  <c r="B25" i="5"/>
  <c r="A25" i="5"/>
  <c r="E24" i="5"/>
  <c r="B24" i="5"/>
  <c r="A24" i="5"/>
  <c r="H23" i="5"/>
  <c r="B23" i="5"/>
  <c r="H22" i="5"/>
  <c r="E21" i="5"/>
  <c r="B21" i="5"/>
  <c r="A21" i="5"/>
  <c r="E20" i="5"/>
  <c r="B20" i="5"/>
  <c r="A20" i="5"/>
  <c r="N19" i="5"/>
  <c r="B19" i="5"/>
  <c r="N18" i="5"/>
  <c r="B17" i="5"/>
  <c r="A17" i="5"/>
  <c r="E16" i="5"/>
  <c r="B16" i="5"/>
  <c r="A16" i="5"/>
  <c r="B15" i="5"/>
  <c r="H14" i="5"/>
  <c r="E13" i="5"/>
  <c r="B13" i="5"/>
  <c r="A13" i="5"/>
  <c r="E12" i="5"/>
  <c r="B12" i="5"/>
  <c r="A12" i="5"/>
  <c r="K11" i="5"/>
  <c r="B11" i="5"/>
  <c r="K10" i="5"/>
  <c r="B9" i="5"/>
  <c r="A9" i="5"/>
  <c r="E8" i="5"/>
  <c r="B8" i="5"/>
  <c r="A8" i="5"/>
  <c r="H7" i="5"/>
  <c r="B7" i="5"/>
  <c r="H6" i="5"/>
  <c r="E5" i="5"/>
  <c r="B5" i="5"/>
  <c r="A5" i="5"/>
  <c r="E4" i="5"/>
  <c r="B4" i="5"/>
  <c r="A4" i="5"/>
  <c r="B3" i="5"/>
  <c r="A3" i="5"/>
  <c r="K2" i="5"/>
  <c r="B1" i="5"/>
  <c r="A1" i="5"/>
  <c r="B53" i="4"/>
  <c r="D52" i="4"/>
  <c r="B52" i="4"/>
  <c r="F51" i="4"/>
  <c r="D51" i="4"/>
  <c r="B51" i="4"/>
  <c r="D50" i="4"/>
  <c r="H49" i="4"/>
  <c r="B49" i="4"/>
  <c r="F48" i="4"/>
  <c r="D48" i="4"/>
  <c r="B48" i="4"/>
  <c r="J47" i="4"/>
  <c r="F47" i="4"/>
  <c r="D47" i="4"/>
  <c r="B47" i="4"/>
  <c r="H46" i="4"/>
  <c r="D46" i="4"/>
  <c r="H45" i="4"/>
  <c r="B45" i="4"/>
  <c r="D44" i="4"/>
  <c r="B44" i="4"/>
  <c r="L43" i="4"/>
  <c r="F43" i="4"/>
  <c r="D43" i="4"/>
  <c r="B43" i="4"/>
  <c r="D42" i="4"/>
  <c r="H41" i="4"/>
  <c r="B41" i="4"/>
  <c r="J40" i="4"/>
  <c r="F40" i="4"/>
  <c r="D40" i="4"/>
  <c r="B40" i="4"/>
  <c r="N39" i="4"/>
  <c r="J39" i="4"/>
  <c r="F39" i="4"/>
  <c r="D39" i="4"/>
  <c r="B39" i="4"/>
  <c r="H38" i="4"/>
  <c r="D38" i="4"/>
  <c r="H37" i="4"/>
  <c r="L36" i="4"/>
  <c r="L35" i="4"/>
  <c r="B35" i="4"/>
  <c r="Q34" i="4"/>
  <c r="B33" i="4"/>
  <c r="A33" i="4"/>
  <c r="E32" i="4"/>
  <c r="B32" i="4"/>
  <c r="A32" i="4"/>
  <c r="S31" i="4"/>
  <c r="B31" i="4"/>
  <c r="H30" i="4"/>
  <c r="Q29" i="4"/>
  <c r="E29" i="4"/>
  <c r="B29" i="4"/>
  <c r="A29" i="4"/>
  <c r="P28" i="4"/>
  <c r="E28" i="4"/>
  <c r="B28" i="4"/>
  <c r="A28" i="4"/>
  <c r="B27" i="4"/>
  <c r="K26" i="4"/>
  <c r="B25" i="4"/>
  <c r="A25" i="4"/>
  <c r="E24" i="4"/>
  <c r="B24" i="4"/>
  <c r="A24" i="4"/>
  <c r="H23" i="4"/>
  <c r="B23" i="4"/>
  <c r="H22" i="4"/>
  <c r="E21" i="4"/>
  <c r="B21" i="4"/>
  <c r="A21" i="4"/>
  <c r="E20" i="4"/>
  <c r="B20" i="4"/>
  <c r="A20" i="4"/>
  <c r="N19" i="4"/>
  <c r="B19" i="4"/>
  <c r="N18" i="4"/>
  <c r="B17" i="4"/>
  <c r="A17" i="4"/>
  <c r="E16" i="4"/>
  <c r="B16" i="4"/>
  <c r="A16" i="4"/>
  <c r="B15" i="4"/>
  <c r="H14" i="4"/>
  <c r="E13" i="4"/>
  <c r="B13" i="4"/>
  <c r="A13" i="4"/>
  <c r="E12" i="4"/>
  <c r="B12" i="4"/>
  <c r="A12" i="4"/>
  <c r="K11" i="4"/>
  <c r="B11" i="4"/>
  <c r="K10" i="4"/>
  <c r="B9" i="4"/>
  <c r="A9" i="4"/>
  <c r="E8" i="4"/>
  <c r="B8" i="4"/>
  <c r="A8" i="4"/>
  <c r="H7" i="4"/>
  <c r="B7" i="4"/>
  <c r="H6" i="4"/>
  <c r="E5" i="4"/>
  <c r="B5" i="4"/>
  <c r="A5" i="4"/>
  <c r="E4" i="4"/>
  <c r="B4" i="4"/>
  <c r="A4" i="4"/>
  <c r="B3" i="4"/>
  <c r="A3" i="4"/>
  <c r="K2" i="4"/>
  <c r="B1" i="4"/>
  <c r="A1" i="4"/>
  <c r="B53" i="3"/>
  <c r="D52" i="3"/>
  <c r="B52" i="3"/>
  <c r="F51" i="3"/>
  <c r="D51" i="3"/>
  <c r="B51" i="3"/>
  <c r="D50" i="3"/>
  <c r="H49" i="3"/>
  <c r="B49" i="3"/>
  <c r="F48" i="3"/>
  <c r="D48" i="3"/>
  <c r="B48" i="3"/>
  <c r="J47" i="3"/>
  <c r="F47" i="3"/>
  <c r="D47" i="3"/>
  <c r="B47" i="3"/>
  <c r="H46" i="3"/>
  <c r="D46" i="3"/>
  <c r="H45" i="3"/>
  <c r="B45" i="3"/>
  <c r="D44" i="3"/>
  <c r="B44" i="3"/>
  <c r="L43" i="3"/>
  <c r="F43" i="3"/>
  <c r="D43" i="3"/>
  <c r="B43" i="3"/>
  <c r="D42" i="3"/>
  <c r="H41" i="3"/>
  <c r="B41" i="3"/>
  <c r="J40" i="3"/>
  <c r="F40" i="3"/>
  <c r="D40" i="3"/>
  <c r="B40" i="3"/>
  <c r="N39" i="3"/>
  <c r="J39" i="3"/>
  <c r="F39" i="3"/>
  <c r="D39" i="3"/>
  <c r="B39" i="3"/>
  <c r="H38" i="3"/>
  <c r="D38" i="3"/>
  <c r="H37" i="3"/>
  <c r="L36" i="3"/>
  <c r="L35" i="3"/>
  <c r="B35" i="3"/>
  <c r="Q34" i="3"/>
  <c r="B33" i="3"/>
  <c r="A33" i="3"/>
  <c r="E32" i="3"/>
  <c r="B32" i="3"/>
  <c r="A32" i="3"/>
  <c r="S31" i="3"/>
  <c r="B31" i="3"/>
  <c r="H30" i="3"/>
  <c r="Q29" i="3"/>
  <c r="E29" i="3"/>
  <c r="B29" i="3"/>
  <c r="A29" i="3"/>
  <c r="P28" i="3"/>
  <c r="E28" i="3"/>
  <c r="B28" i="3"/>
  <c r="A28" i="3"/>
  <c r="B27" i="3"/>
  <c r="K26" i="3"/>
  <c r="B25" i="3"/>
  <c r="A25" i="3"/>
  <c r="E24" i="3"/>
  <c r="B24" i="3"/>
  <c r="A24" i="3"/>
  <c r="H23" i="3"/>
  <c r="B23" i="3"/>
  <c r="H22" i="3"/>
  <c r="E21" i="3"/>
  <c r="B21" i="3"/>
  <c r="A21" i="3"/>
  <c r="E20" i="3"/>
  <c r="B20" i="3"/>
  <c r="A20" i="3"/>
  <c r="N19" i="3"/>
  <c r="B19" i="3"/>
  <c r="N18" i="3"/>
  <c r="B17" i="3"/>
  <c r="A17" i="3"/>
  <c r="E16" i="3"/>
  <c r="B16" i="3"/>
  <c r="A16" i="3"/>
  <c r="B15" i="3"/>
  <c r="H14" i="3"/>
  <c r="E13" i="3"/>
  <c r="B13" i="3"/>
  <c r="A13" i="3"/>
  <c r="E12" i="3"/>
  <c r="B12" i="3"/>
  <c r="A12" i="3"/>
  <c r="K11" i="3"/>
  <c r="B11" i="3"/>
  <c r="K10" i="3"/>
  <c r="B9" i="3"/>
  <c r="A9" i="3"/>
  <c r="E8" i="3"/>
  <c r="B8" i="3"/>
  <c r="A8" i="3"/>
  <c r="H7" i="3"/>
  <c r="B7" i="3"/>
  <c r="H6" i="3"/>
  <c r="E5" i="3"/>
  <c r="B5" i="3"/>
  <c r="A5" i="3"/>
  <c r="E4" i="3"/>
  <c r="B4" i="3"/>
  <c r="A4" i="3"/>
  <c r="B3" i="3"/>
  <c r="A3" i="3"/>
  <c r="K2" i="3"/>
  <c r="B1" i="3"/>
  <c r="A1" i="3"/>
  <c r="B85" i="2"/>
  <c r="A85" i="2"/>
  <c r="B84" i="2"/>
  <c r="A84" i="2"/>
  <c r="B83" i="2"/>
  <c r="A83" i="2"/>
  <c r="B82" i="2"/>
  <c r="A82" i="2"/>
  <c r="B81" i="2"/>
  <c r="A81" i="2"/>
  <c r="B80" i="2"/>
  <c r="A80" i="2"/>
  <c r="B79" i="2"/>
  <c r="A79" i="2"/>
  <c r="B78" i="2"/>
  <c r="A78" i="2"/>
  <c r="B77" i="2"/>
  <c r="A77" i="2"/>
  <c r="B76" i="2"/>
  <c r="A76" i="2"/>
  <c r="B75" i="2"/>
  <c r="A75" i="2"/>
  <c r="A74" i="2"/>
  <c r="B73" i="2"/>
  <c r="A73" i="2"/>
  <c r="B72" i="2"/>
  <c r="A72" i="2"/>
  <c r="B71" i="2"/>
  <c r="A71" i="2"/>
  <c r="D70" i="2"/>
  <c r="C70" i="2"/>
  <c r="B70" i="2"/>
  <c r="A70" i="2"/>
  <c r="D69" i="2"/>
  <c r="C69" i="2"/>
  <c r="B69" i="2"/>
  <c r="A69" i="2"/>
  <c r="C68" i="2"/>
  <c r="B68" i="2"/>
  <c r="A68" i="2"/>
  <c r="A67" i="2"/>
  <c r="C65" i="2"/>
  <c r="B65" i="2"/>
  <c r="A65" i="2"/>
  <c r="C64" i="2"/>
  <c r="B64" i="2"/>
  <c r="A64" i="2"/>
  <c r="C63" i="2"/>
  <c r="B63" i="2"/>
  <c r="A63" i="2"/>
  <c r="C62" i="2"/>
  <c r="B62" i="2"/>
  <c r="A62" i="2"/>
  <c r="C61" i="2"/>
  <c r="B61" i="2"/>
  <c r="A61" i="2"/>
  <c r="C60" i="2"/>
  <c r="B60" i="2"/>
  <c r="A60" i="2"/>
  <c r="C59" i="2"/>
  <c r="B59" i="2"/>
  <c r="A59" i="2"/>
  <c r="C58" i="2"/>
  <c r="B58" i="2"/>
  <c r="A58" i="2"/>
  <c r="C57" i="2"/>
  <c r="B57" i="2"/>
  <c r="A57" i="2"/>
  <c r="C56" i="2"/>
  <c r="B56" i="2"/>
  <c r="A56" i="2"/>
  <c r="A55" i="2"/>
  <c r="D53" i="2"/>
  <c r="C53" i="2"/>
  <c r="B53" i="2"/>
  <c r="A53" i="2"/>
  <c r="D52" i="2"/>
  <c r="C52" i="2"/>
  <c r="B52" i="2"/>
  <c r="A52" i="2"/>
  <c r="D51" i="2"/>
  <c r="C51" i="2"/>
  <c r="B51" i="2"/>
  <c r="A51" i="2"/>
  <c r="D50" i="2"/>
  <c r="C50" i="2"/>
  <c r="B50" i="2"/>
  <c r="A50" i="2"/>
  <c r="D49" i="2"/>
  <c r="C49" i="2"/>
  <c r="B49" i="2"/>
  <c r="A49" i="2"/>
  <c r="D48" i="2"/>
  <c r="C48" i="2"/>
  <c r="B48" i="2"/>
  <c r="A48" i="2"/>
  <c r="D47" i="2"/>
  <c r="C47" i="2"/>
  <c r="B47" i="2"/>
  <c r="A47" i="2"/>
  <c r="D46" i="2"/>
  <c r="C46" i="2"/>
  <c r="B46" i="2"/>
  <c r="A46" i="2"/>
  <c r="D45" i="2"/>
  <c r="C45" i="2"/>
  <c r="B45" i="2"/>
  <c r="A45" i="2"/>
  <c r="D44" i="2"/>
  <c r="C44" i="2"/>
  <c r="B44" i="2"/>
  <c r="A44" i="2"/>
  <c r="D43" i="2"/>
  <c r="C43" i="2"/>
  <c r="B43" i="2"/>
  <c r="A43" i="2"/>
  <c r="D42" i="2"/>
  <c r="C42" i="2"/>
  <c r="B42" i="2"/>
  <c r="A42" i="2"/>
  <c r="D41" i="2"/>
  <c r="C41" i="2"/>
  <c r="B41" i="2"/>
  <c r="A41" i="2"/>
  <c r="A40" i="2"/>
  <c r="C38" i="2"/>
  <c r="B38" i="2"/>
  <c r="A38" i="2"/>
  <c r="C37" i="2"/>
  <c r="B37" i="2"/>
  <c r="A37" i="2"/>
  <c r="C36" i="2"/>
  <c r="B36" i="2"/>
  <c r="A36" i="2"/>
  <c r="C35" i="2"/>
  <c r="B35" i="2"/>
  <c r="A35" i="2"/>
  <c r="A34" i="2"/>
  <c r="C32" i="2"/>
  <c r="B32" i="2"/>
  <c r="A32" i="2"/>
  <c r="C31" i="2"/>
  <c r="B31" i="2"/>
  <c r="A31" i="2"/>
  <c r="C30" i="2"/>
  <c r="B30" i="2"/>
  <c r="A30" i="2"/>
  <c r="C29" i="2"/>
  <c r="B29" i="2"/>
  <c r="A29" i="2"/>
  <c r="A28" i="2"/>
  <c r="C26" i="2"/>
  <c r="B26" i="2"/>
  <c r="A26" i="2"/>
  <c r="C25" i="2"/>
  <c r="B25" i="2"/>
  <c r="A25" i="2"/>
  <c r="C24" i="2"/>
  <c r="B24" i="2"/>
  <c r="A24" i="2"/>
  <c r="C23" i="2"/>
  <c r="B23" i="2"/>
  <c r="A23" i="2"/>
  <c r="A22" i="2"/>
  <c r="C20" i="2"/>
  <c r="B20" i="2"/>
  <c r="A20" i="2"/>
  <c r="C19" i="2"/>
  <c r="B19" i="2"/>
  <c r="A19" i="2"/>
  <c r="C18" i="2"/>
  <c r="B18" i="2"/>
  <c r="A18" i="2"/>
  <c r="C17" i="2"/>
  <c r="B17" i="2"/>
  <c r="A17" i="2"/>
  <c r="A16" i="2"/>
  <c r="C14" i="2"/>
  <c r="B14" i="2"/>
  <c r="A14" i="2"/>
  <c r="C13" i="2"/>
  <c r="B13" i="2"/>
  <c r="A13" i="2"/>
  <c r="C12" i="2"/>
  <c r="B12" i="2"/>
  <c r="A12" i="2"/>
  <c r="C11" i="2"/>
  <c r="B11" i="2"/>
  <c r="A11" i="2"/>
  <c r="A10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A2" i="2"/>
  <c r="D1" i="2"/>
  <c r="C1" i="2"/>
  <c r="B1" i="2"/>
  <c r="A1" i="2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<sst xmlns="http://schemas.openxmlformats.org/spreadsheetml/2006/main" count="8" uniqueCount="8">
  <si>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Team Name</t>
  </si>
  <si>
    <t>Seeding</t>
  </si>
  <si>
    <t>DS</t>
  </si>
  <si>
    <t>DE</t>
  </si>
  <si>
    <t>Documentation</t>
  </si>
  <si>
    <t>Total</t>
  </si>
  <si>
    <t>Rank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</si>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</sst>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0"/>
      <color rgb="FF000000"/>
      <name val="Arial"/>
      <scheme val="minor"/>
    </font>
    <font>
      <b/>
      <sz val="13"/>
      <color theme="1"/>
      <name val="Arial"/>
      <scheme val="minor"/>
    </font>
    <font>
      <sz val="13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Arial"/>
      <scheme val="minor"/>
    </font>
    <font>
      <sz val="10"/>
      <color theme="1"/>
      <name val="Arial"/>
    </font>
    <font>
      <sz val="11"/>
      <color theme="1"/>
      <name val="Calibri"/>
    </font>
    <font>
      <sz val="18"/>
      <color theme="1"/>
      <name val="Calibri"/>
    </font>
    <font>
      <b/>
      <sz val="11"/>
      <color rgb="FFFFFFFF"/>
      <name val="Calibri"/>
    </font>
    <font>
      <sz val="10"/>
      <name val="Arial"/>
    </font>
    <font>
      <b/>
      <sz val="13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0000"/>
        <bgColor rgb="FFFF00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rgb="FF000000"/>
      </right>
      <top/>
      <bottom style="dotted">
        <color rgb="FFFF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49" fontId="3" fillId="2" borderId="0" xfId="0" applyNumberFormat="1" applyFont="1" applyFill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4" xfId="0" applyFont="1" applyBorder="1"/>
    <xf numFmtId="0" fontId="6" fillId="0" borderId="5" xfId="0" applyFont="1" applyBorder="1"/>
    <xf numFmtId="0" fontId="6" fillId="0" borderId="2" xfId="0" applyFont="1" applyBorder="1"/>
    <xf numFmtId="0" fontId="10" fillId="5" borderId="0" xfId="0" applyFont="1" applyFill="1"/>
    <xf numFmtId="49" fontId="2" fillId="0" borderId="0" xfId="0" applyNumberFormat="1" applyFont="1"/>
    <xf numFmtId="0" fontId="10" fillId="5" borderId="0" xfId="0" applyFont="1" applyFill="1" applyAlignment="1">
      <alignment horizontal="center"/>
    </xf>
    <xf numFmtId="0" fontId="6" fillId="0" borderId="0" xfId="0" applyFont="1"/>
    <xf numFmtId="0" fontId="0" fillId="0" borderId="0" xfId="0"/>
    <xf numFmtId="0" fontId="9" fillId="0" borderId="2" xfId="0" applyFont="1" applyBorder="1"/>
    <xf numFmtId="0" fontId="6" fillId="4" borderId="1" xfId="0" applyFont="1" applyFill="1" applyBorder="1" applyAlignment="1">
      <alignment horizontal="center"/>
    </xf>
    <xf numFmtId="0" fontId="9" fillId="0" borderId="1" xfId="0" applyFont="1" applyBorder="1"/>
    <xf numFmtId="0" fontId="6" fillId="0" borderId="1" xfId="0" applyFont="1" applyBorder="1"/>
    <xf numFmtId="0" fontId="9" fillId="0" borderId="3" xfId="0" applyFont="1" applyBorder="1"/>
    <xf numFmtId="49" fontId="6" fillId="0" borderId="1" xfId="0" applyNumberFormat="1" applyFont="1" applyBorder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4" xfId="0" applyFont="1" applyBorder="1"/>
    <xf numFmtId="0" fontId="9" fillId="0" borderId="4" xfId="0" applyFont="1" applyBorder="1"/>
    <xf numFmtId="0" fontId="6" fillId="4" borderId="1" xfId="0" applyFont="1" applyFill="1" applyBorder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53"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minor"/>
      </font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EF7E3"/>
          <bgColor rgb="FFEEF7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BC34A"/>
          <bgColor rgb="FF8BC34A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</dxfs>
  <tableStyles count="14">
    <tableStyle name="Overall Scores-style" pivot="0" count="3" xr9:uid="{00000000-0011-0000-FFFF-FFFF00000000}">
      <tableStyleElement type="headerRow" dxfId="52"/>
      <tableStyleElement type="firstRowStripe" dxfId="51"/>
      <tableStyleElement type="secondRowStripe" dxfId="50"/>
    </tableStyle>
    <tableStyle name="Trophies &amp; Certificates-style" pivot="0" count="3" xr9:uid="{00000000-0011-0000-FFFF-FFFF01000000}">
      <tableStyleElement type="headerRow" dxfId="49"/>
      <tableStyleElement type="firstRowStripe" dxfId="48"/>
      <tableStyleElement type="secondRowStripe" dxfId="47"/>
    </tableStyle>
    <tableStyle name="Trophies &amp; Certificates-style 2" pivot="0" count="3" xr9:uid="{00000000-0011-0000-FFFF-FFFF02000000}">
      <tableStyleElement type="headerRow" dxfId="46"/>
      <tableStyleElement type="firstRowStripe" dxfId="45"/>
      <tableStyleElement type="secondRowStripe" dxfId="44"/>
    </tableStyle>
    <tableStyle name="Trophies &amp; Certificates-style 3" pivot="0" count="3" xr9:uid="{00000000-0011-0000-FFFF-FFFF03000000}">
      <tableStyleElement type="headerRow" dxfId="43"/>
      <tableStyleElement type="firstRowStripe" dxfId="42"/>
      <tableStyleElement type="secondRowStripe" dxfId="41"/>
    </tableStyle>
    <tableStyle name="Trophies &amp; Certificates-style 4" pivot="0" count="3" xr9:uid="{00000000-0011-0000-FFFF-FFFF04000000}">
      <tableStyleElement type="headerRow" dxfId="40"/>
      <tableStyleElement type="firstRowStripe" dxfId="39"/>
      <tableStyleElement type="secondRowStripe" dxfId="38"/>
    </tableStyle>
    <tableStyle name="Trophies &amp; Certificates-style 5" pivot="0" count="3" xr9:uid="{00000000-0011-0000-FFFF-FFFF05000000}">
      <tableStyleElement type="headerRow" dxfId="37"/>
      <tableStyleElement type="firstRowStripe" dxfId="36"/>
      <tableStyleElement type="secondRowStripe" dxfId="35"/>
    </tableStyle>
    <tableStyle name="Trophies &amp; Certificates-style 6" pivot="0" count="3" xr9:uid="{00000000-0011-0000-FFFF-FFFF06000000}">
      <tableStyleElement type="headerRow" dxfId="34"/>
      <tableStyleElement type="firstRowStripe" dxfId="33"/>
      <tableStyleElement type="secondRowStripe" dxfId="32"/>
    </tableStyle>
    <tableStyle name="Trophies &amp; Certificates-style 7" pivot="0" count="3" xr9:uid="{00000000-0011-0000-FFFF-FFFF07000000}">
      <tableStyleElement type="headerRow" dxfId="31"/>
      <tableStyleElement type="firstRowStripe" dxfId="30"/>
      <tableStyleElement type="secondRowStripe" dxfId="29"/>
    </tableStyle>
    <tableStyle name="Trophies &amp; Certificates-style 8" pivot="0" count="3" xr9:uid="{00000000-0011-0000-FFFF-FFFF08000000}">
      <tableStyleElement type="headerRow" dxfId="28"/>
      <tableStyleElement type="firstRowStripe" dxfId="27"/>
      <tableStyleElement type="secondRowStripe" dxfId="26"/>
    </tableStyle>
    <tableStyle name="Trophies &amp; Certificates-style 9" pivot="0" count="3" xr9:uid="{00000000-0011-0000-FFFF-FFFF09000000}">
      <tableStyleElement type="headerRow" dxfId="25"/>
      <tableStyleElement type="firstRowStripe" dxfId="24"/>
      <tableStyleElement type="secondRowStripe" dxfId="23"/>
    </tableStyle>
    <tableStyle name="Trophies &amp; Certificates-style 10" pivot="0" count="3" xr9:uid="{00000000-0011-0000-FFFF-FFFF0A000000}">
      <tableStyleElement type="headerRow" dxfId="22"/>
      <tableStyleElement type="firstRowStripe" dxfId="21"/>
      <tableStyleElement type="secondRowStripe" dxfId="20"/>
    </tableStyle>
    <tableStyle name="Combined Seeding-style" pivot="0" count="3" xr9:uid="{00000000-0011-0000-FFFF-FFFF0B000000}">
      <tableStyleElement type="headerRow" dxfId="19"/>
      <tableStyleElement type="firstRowStripe" dxfId="18"/>
      <tableStyleElement type="secondRowStripe" dxfId="17"/>
    </tableStyle>
    <tableStyle name="Seeding Scores-style" pivot="0" count="3" xr9:uid="{00000000-0011-0000-FFFF-FFFF0C000000}">
      <tableStyleElement type="headerRow" dxfId="16"/>
      <tableStyleElement type="firstRowStripe" dxfId="15"/>
      <tableStyleElement type="secondRowStripe" dxfId="14"/>
    </tableStyle>
    <tableStyle name="Double Seeding Scores-style" pivot="0" count="3" xr9:uid="{00000000-0011-0000-FFFF-FFFF0D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H49" headerRowDxfId="2" dataDxfId="0" totalsRowDxfId="1">
  <tableColumns count="8">
    <tableColumn id="1" xr3:uid="{00000000-0010-0000-0000-000001000000}" name="Team Name" dataDxfId="10"/>
    <tableColumn id="2" xr3:uid="{00000000-0010-0000-0000-000002000000}" name="Number" dataDxfId="9"/>
    <tableColumn id="3" xr3:uid="{00000000-0010-0000-0000-000003000000}" name="Seeding" dataDxfId="8"/>
    <tableColumn id="4" xr3:uid="{00000000-0010-0000-0000-000004000000}" name="DS" dataDxfId="7"/>
    <tableColumn id="5" xr3:uid="{00000000-0010-0000-0000-000005000000}" name="DE" dataDxfId="6"/>
    <tableColumn id="6" xr3:uid="{00000000-0010-0000-0000-000006000000}" name="Documentation" dataDxfId="5"/>
    <tableColumn id="7" xr3:uid="{00000000-0010-0000-0000-000007000000}" name="Total" dataDxfId="4"/>
    <tableColumn id="8" xr3:uid="{00000000-0010-0000-0000-000008000000}" name="Rank" dataDxfId="3"/>
  </tableColumns>
  <tableStyleInfo name="Overall Score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67:D73" headerRowCount="0">
  <tableColumns count="4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</tableColumns>
  <tableStyleInfo name="Trophies &amp; Certificates-style 9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75:D90" headerRowCount="0">
  <tableColumns count="4">
    <tableColumn id="1" xr3:uid="{00000000-0010-0000-0A00-000001000000}" name="Column1"/>
    <tableColumn id="2" xr3:uid="{00000000-0010-0000-0A00-000002000000}" name="Column2"/>
    <tableColumn id="3" xr3:uid="{00000000-0010-0000-0A00-000003000000}" name="Column3"/>
    <tableColumn id="4" xr3:uid="{00000000-0010-0000-0A00-000004000000}" name="Column4"/>
  </tableColumns>
  <tableStyleInfo name="Trophies &amp; Certificates-style 10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1:P49">
  <tableColumns count="16">
    <tableColumn id="1" xr3:uid="{00000000-0010-0000-0B00-000001000000}" name="Team Name"/>
    <tableColumn id="2" xr3:uid="{00000000-0010-0000-0B00-000002000000}" name="Team Num"/>
    <tableColumn id="3" xr3:uid="{00000000-0010-0000-0B00-000003000000}" name="DS 1"/>
    <tableColumn id="4" xr3:uid="{00000000-0010-0000-0B00-000004000000}" name="DS 2"/>
    <tableColumn id="5" xr3:uid="{00000000-0010-0000-0B00-000005000000}" name="DS 3"/>
    <tableColumn id="6" xr3:uid="{00000000-0010-0000-0B00-000006000000}" name="DS 4"/>
    <tableColumn id="7" xr3:uid="{00000000-0010-0000-0B00-000007000000}" name="DS 5"/>
    <tableColumn id="8" xr3:uid="{00000000-0010-0000-0B00-000008000000}" name="DS Average"/>
    <tableColumn id="9" xr3:uid="{00000000-0010-0000-0B00-000009000000}" name="DS Rank"/>
    <tableColumn id="10" xr3:uid="{00000000-0010-0000-0B00-00000A000000}" name="DS Raw"/>
    <tableColumn id="11" xr3:uid="{00000000-0010-0000-0B00-00000B000000}" name="Seed Average"/>
    <tableColumn id="12" xr3:uid="{00000000-0010-0000-0B00-00000C000000}" name="Seed Rank"/>
    <tableColumn id="13" xr3:uid="{00000000-0010-0000-0B00-00000D000000}" name="Seed Raw"/>
    <tableColumn id="14" xr3:uid="{00000000-0010-0000-0B00-00000E000000}" name="All Seed Rank"/>
    <tableColumn id="15" xr3:uid="{00000000-0010-0000-0B00-00000F000000}" name="All Seed"/>
    <tableColumn id="16" xr3:uid="{00000000-0010-0000-0B00-000010000000}" name="Diff"/>
  </tableColumns>
  <tableStyleInfo name="Combined Seeding-style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1:H49">
  <tableColumns count="8">
    <tableColumn id="1" xr3:uid="{00000000-0010-0000-0C00-000001000000}" name="Team Name"/>
    <tableColumn id="2" xr3:uid="{00000000-0010-0000-0C00-000002000000}" name="Team Num"/>
    <tableColumn id="3" xr3:uid="{00000000-0010-0000-0C00-000003000000}" name="Seed 1"/>
    <tableColumn id="4" xr3:uid="{00000000-0010-0000-0C00-000004000000}" name="Seed 2"/>
    <tableColumn id="5" xr3:uid="{00000000-0010-0000-0C00-000005000000}" name="Seed 3"/>
    <tableColumn id="6" xr3:uid="{00000000-0010-0000-0C00-000006000000}" name="Seed Average"/>
    <tableColumn id="7" xr3:uid="{00000000-0010-0000-0C00-000007000000}" name="Seed Rank"/>
    <tableColumn id="8" xr3:uid="{00000000-0010-0000-0C00-000008000000}" name="Seed Raw"/>
  </tableColumns>
  <tableStyleInfo name="Seeding Scores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A1:J49">
  <tableColumns count="10">
    <tableColumn id="1" xr3:uid="{00000000-0010-0000-0D00-000001000000}" name="Team Name"/>
    <tableColumn id="2" xr3:uid="{00000000-0010-0000-0D00-000002000000}" name="Team Num"/>
    <tableColumn id="3" xr3:uid="{00000000-0010-0000-0D00-000003000000}" name="DS 1"/>
    <tableColumn id="4" xr3:uid="{00000000-0010-0000-0D00-000004000000}" name="DS 2"/>
    <tableColumn id="5" xr3:uid="{00000000-0010-0000-0D00-000005000000}" name="DS 3"/>
    <tableColumn id="6" xr3:uid="{00000000-0010-0000-0D00-000006000000}" name="DS 4"/>
    <tableColumn id="7" xr3:uid="{00000000-0010-0000-0D00-000007000000}" name="DS 5"/>
    <tableColumn id="8" xr3:uid="{00000000-0010-0000-0D00-000008000000}" name="DS Average"/>
    <tableColumn id="9" xr3:uid="{00000000-0010-0000-0D00-000009000000}" name="DS Rank"/>
    <tableColumn id="10" xr3:uid="{00000000-0010-0000-0D00-00000A000000}" name="DS Raw"/>
  </tableColumns>
  <tableStyleInfo name="Double Seeding Score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D8" headerRowCount="0">
  <tableColumns count="4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</tableColumns>
  <tableStyleInfo name="Trophies &amp; Certificate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10:C14" headerRowCount="0">
  <tableColumns count="3">
    <tableColumn id="1" xr3:uid="{00000000-0010-0000-0200-000001000000}" name="Column1"/>
    <tableColumn id="2" xr3:uid="{00000000-0010-0000-0200-000002000000}" name="Column2"/>
    <tableColumn id="3" xr3:uid="{00000000-0010-0000-0200-000003000000}" name="Column3"/>
  </tableColumns>
  <tableStyleInfo name="Trophies &amp; Certificate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16:C20" headerRowCount="0">
  <tableColumns count="3">
    <tableColumn id="1" xr3:uid="{00000000-0010-0000-0300-000001000000}" name="Column1"/>
    <tableColumn id="2" xr3:uid="{00000000-0010-0000-0300-000002000000}" name="Column2"/>
    <tableColumn id="3" xr3:uid="{00000000-0010-0000-0300-000003000000}" name="Column3"/>
  </tableColumns>
  <tableStyleInfo name="Trophies &amp; Certificates-style 3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22:C26" headerRowCount="0">
  <tableColumns count="3">
    <tableColumn id="1" xr3:uid="{00000000-0010-0000-0400-000001000000}" name="Column1"/>
    <tableColumn id="2" xr3:uid="{00000000-0010-0000-0400-000002000000}" name="Column2"/>
    <tableColumn id="3" xr3:uid="{00000000-0010-0000-0400-000003000000}" name="Column3"/>
  </tableColumns>
  <tableStyleInfo name="Trophies &amp; Certificates-style 4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A28:C32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Trophies &amp; Certificates-style 5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34:C38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Trophies &amp; Certificates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40:D53" headerRowCount="0">
  <tableColumns count="4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</tableColumns>
  <tableStyleInfo name="Trophies &amp; Certificates-style 7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55:C65" headerRowCount="0">
  <tableColumns count="3">
    <tableColumn id="1" xr3:uid="{00000000-0010-0000-0800-000001000000}" name="Column1"/>
    <tableColumn id="2" xr3:uid="{00000000-0010-0000-0800-000002000000}" name="Column2"/>
    <tableColumn id="3" xr3:uid="{00000000-0010-0000-0800-000003000000}" name="Column3"/>
  </tableColumns>
  <tableStyleInfo name="Trophies &amp; Certificates-style 8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</sheetPr>
  <dimension ref="A1:H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7" sqref="J7"/>
    </sheetView>
  </sheetViews>
  <sheetFormatPr defaultColWidth="12.6640625" defaultRowHeight="15.75" customHeight="1"/>
  <cols>
    <col min="1" max="1" width="41.44140625" style="37" customWidth="1"/>
    <col min="2" max="2" width="12.33203125" style="37" customWidth="1"/>
    <col min="3" max="3" width="14" style="37" customWidth="1"/>
    <col min="4" max="4" width="13.6640625" style="37" customWidth="1"/>
    <col min="5" max="5" width="12.5546875" style="37" customWidth="1"/>
    <col min="6" max="6" width="14.44140625" style="37" customWidth="1"/>
    <col min="7" max="7" width="12" style="37" bestFit="1" customWidth="1"/>
    <col min="8" max="8" width="6.33203125" style="37" customWidth="1"/>
    <col min="9" max="16384" width="12.6640625" style="37"/>
  </cols>
  <sheetData>
    <row r="1" spans="1:8" ht="15.75" customHeight="1">
      <c r="A1" s="34" t="s">
        <v>0</v>
      </c>
      <c r="B1" s="35" t="s">
        <v>7</v>
      </c>
      <c r="C1" s="36" t="s">
        <v>1</v>
      </c>
      <c r="D1" s="36" t="s">
        <v>2</v>
      </c>
      <c r="E1" s="36" t="s">
        <v>3</v>
      </c>
      <c r="F1" s="36" t="s">
        <v>4</v>
      </c>
      <c r="G1" s="36" t="s">
        <v>5</v>
      </c>
      <c r="H1" s="36" t="s">
        <v>6</v>
      </c>
    </row>
    <row r="2" spans="1:8" ht="15.75" customHeight="1">
      <c r="A2" s="38" t="str">
        <f ca="1">IFERROR(__xludf.DUMMYFUNCTION("""COMPUTED_VALUE"""),"HTL Wiener Neustadt")</f>
        <v>HTL Wiener Neustadt</v>
      </c>
      <c r="B2" s="39" t="str">
        <f ca="1">IFERROR(__xludf.DUMMYFUNCTION("""COMPUTED_VALUE"""),"606")</f>
        <v>606</v>
      </c>
      <c r="C2" s="40">
        <f ca="1">IFERROR(__xludf.DUMMYFUNCTION("""COMPUTED_VALUE"""),0.882804752066115)</f>
        <v>0.88280475206611497</v>
      </c>
      <c r="D2" s="40">
        <f ca="1">IFERROR(__xludf.DUMMYFUNCTION("""COMPUTED_VALUE"""),0.905971236118696)</f>
        <v>0.90597123611869601</v>
      </c>
      <c r="E2" s="40">
        <f ca="1">IFERROR(__xludf.DUMMYFUNCTION("""COMPUTED_VALUE"""),0.96)</f>
        <v>0.96</v>
      </c>
      <c r="F2" s="40">
        <f ca="1">IFERROR(__xludf.DUMMYFUNCTION("""COMPUTED_VALUE"""),1)</f>
        <v>1</v>
      </c>
      <c r="G2" s="40">
        <f ca="1">IFERROR(__xludf.DUMMYFUNCTION("""COMPUTED_VALUE"""),3.74877598818481)</f>
        <v>3.7487759881848102</v>
      </c>
      <c r="H2" s="40">
        <f ca="1">IFERROR(__xludf.DUMMYFUNCTION("""COMPUTED_VALUE"""),1)</f>
        <v>1</v>
      </c>
    </row>
    <row r="3" spans="1:8" ht="15.75" customHeight="1">
      <c r="A3" s="38" t="str">
        <f ca="1">IFERROR(__xludf.DUMMYFUNCTION("""COMPUTED_VALUE"""),"Los Altos Community Team")</f>
        <v>Los Altos Community Team</v>
      </c>
      <c r="B3" s="39" t="str">
        <f ca="1">IFERROR(__xludf.DUMMYFUNCTION("""COMPUTED_VALUE"""),"399")</f>
        <v>399</v>
      </c>
      <c r="C3" s="40">
        <f ca="1">IFERROR(__xludf.DUMMYFUNCTION("""COMPUTED_VALUE"""),0.926280991735537)</f>
        <v>0.92628099173553702</v>
      </c>
      <c r="D3" s="40">
        <f ca="1">IFERROR(__xludf.DUMMYFUNCTION("""COMPUTED_VALUE"""),0.814838582438254)</f>
        <v>0.81483858243825402</v>
      </c>
      <c r="E3" s="40">
        <f ca="1">IFERROR(__xludf.DUMMYFUNCTION("""COMPUTED_VALUE"""),1)</f>
        <v>1</v>
      </c>
      <c r="F3" s="40">
        <f ca="1">IFERROR(__xludf.DUMMYFUNCTION("""COMPUTED_VALUE"""),1)</f>
        <v>1</v>
      </c>
      <c r="G3" s="40">
        <f ca="1">IFERROR(__xludf.DUMMYFUNCTION("""COMPUTED_VALUE"""),3.74111957417379)</f>
        <v>3.7411195741737902</v>
      </c>
      <c r="H3" s="40">
        <f ca="1">IFERROR(__xludf.DUMMYFUNCTION("""COMPUTED_VALUE"""),2)</f>
        <v>2</v>
      </c>
    </row>
    <row r="4" spans="1:8" ht="15.75" customHeight="1">
      <c r="A4" s="38" t="str">
        <f ca="1">IFERROR(__xludf.DUMMYFUNCTION("""COMPUTED_VALUE"""),"HTL Wiener Neustadt")</f>
        <v>HTL Wiener Neustadt</v>
      </c>
      <c r="B4" s="39" t="str">
        <f ca="1">IFERROR(__xludf.DUMMYFUNCTION("""COMPUTED_VALUE"""),"188")</f>
        <v>188</v>
      </c>
      <c r="C4" s="40">
        <f ca="1">IFERROR(__xludf.DUMMYFUNCTION("""COMPUTED_VALUE"""),0.823915289256198)</f>
        <v>0.82391528925619795</v>
      </c>
      <c r="D4" s="40">
        <f ca="1">IFERROR(__xludf.DUMMYFUNCTION("""COMPUTED_VALUE"""),0.781543176163602)</f>
        <v>0.78154317616360203</v>
      </c>
      <c r="E4" s="40">
        <f ca="1">IFERROR(__xludf.DUMMYFUNCTION("""COMPUTED_VALUE"""),0.919999999999999)</f>
        <v>0.91999999999999904</v>
      </c>
      <c r="F4" s="40">
        <f ca="1">IFERROR(__xludf.DUMMYFUNCTION("""COMPUTED_VALUE"""),1)</f>
        <v>1</v>
      </c>
      <c r="G4" s="40">
        <f ca="1">IFERROR(__xludf.DUMMYFUNCTION("""COMPUTED_VALUE"""),3.5254584654198)</f>
        <v>3.5254584654198</v>
      </c>
      <c r="H4" s="40">
        <f ca="1">IFERROR(__xludf.DUMMYFUNCTION("""COMPUTED_VALUE"""),3)</f>
        <v>3</v>
      </c>
    </row>
    <row r="5" spans="1:8" ht="15.75" customHeight="1">
      <c r="A5" s="38" t="str">
        <f ca="1">IFERROR(__xludf.DUMMYFUNCTION("""COMPUTED_VALUE"""),"HTL St. Pölten")</f>
        <v>HTL St. Pölten</v>
      </c>
      <c r="B5" s="39" t="str">
        <f ca="1">IFERROR(__xludf.DUMMYFUNCTION("""COMPUTED_VALUE"""),"635")</f>
        <v>635</v>
      </c>
      <c r="C5" s="40">
        <f ca="1">IFERROR(__xludf.DUMMYFUNCTION("""COMPUTED_VALUE"""),0.776797520661157)</f>
        <v>0.77679752066115704</v>
      </c>
      <c r="D5" s="40">
        <f ca="1">IFERROR(__xludf.DUMMYFUNCTION("""COMPUTED_VALUE"""),0.713749317312943)</f>
        <v>0.713749317312943</v>
      </c>
      <c r="E5" s="40">
        <f ca="1">IFERROR(__xludf.DUMMYFUNCTION("""COMPUTED_VALUE"""),0.88)</f>
        <v>0.88</v>
      </c>
      <c r="F5" s="40">
        <f ca="1">IFERROR(__xludf.DUMMYFUNCTION("""COMPUTED_VALUE"""),0.93)</f>
        <v>0.93</v>
      </c>
      <c r="G5" s="40">
        <f ca="1">IFERROR(__xludf.DUMMYFUNCTION("""COMPUTED_VALUE"""),3.3005468379741)</f>
        <v>3.3005468379741001</v>
      </c>
      <c r="H5" s="40">
        <f ca="1">IFERROR(__xludf.DUMMYFUNCTION("""COMPUTED_VALUE"""),4)</f>
        <v>4</v>
      </c>
    </row>
    <row r="6" spans="1:8" ht="15.75" customHeight="1">
      <c r="A6" s="38" t="str">
        <f ca="1">IFERROR(__xludf.DUMMYFUNCTION("""COMPUTED_VALUE"""),"Los Altos Community Team")</f>
        <v>Los Altos Community Team</v>
      </c>
      <c r="B6" s="39" t="str">
        <f ca="1">IFERROR(__xludf.DUMMYFUNCTION("""COMPUTED_VALUE"""),"453")</f>
        <v>453</v>
      </c>
      <c r="C6" s="40">
        <f ca="1">IFERROR(__xludf.DUMMYFUNCTION("""COMPUTED_VALUE"""),0.808207644628099)</f>
        <v>0.80820764462809902</v>
      </c>
      <c r="D6" s="40">
        <f ca="1">IFERROR(__xludf.DUMMYFUNCTION("""COMPUTED_VALUE"""),0.68371260392014)</f>
        <v>0.68371260392013999</v>
      </c>
      <c r="E6" s="40">
        <f ca="1">IFERROR(__xludf.DUMMYFUNCTION("""COMPUTED_VALUE"""),0.76)</f>
        <v>0.76</v>
      </c>
      <c r="F6" s="40">
        <f ca="1">IFERROR(__xludf.DUMMYFUNCTION("""COMPUTED_VALUE"""),1)</f>
        <v>1</v>
      </c>
      <c r="G6" s="40">
        <f ca="1">IFERROR(__xludf.DUMMYFUNCTION("""COMPUTED_VALUE"""),3.25192024854824)</f>
        <v>3.2519202485482399</v>
      </c>
      <c r="H6" s="40">
        <f ca="1">IFERROR(__xludf.DUMMYFUNCTION("""COMPUTED_VALUE"""),5)</f>
        <v>5</v>
      </c>
    </row>
    <row r="7" spans="1:8" ht="15.75" customHeight="1">
      <c r="A7" s="38" t="str">
        <f ca="1">IFERROR(__xludf.DUMMYFUNCTION("""COMPUTED_VALUE"""),"Beanstalk International Bilingual School-Titan")</f>
        <v>Beanstalk International Bilingual School-Titan</v>
      </c>
      <c r="B7" s="39" t="str">
        <f ca="1">IFERROR(__xludf.DUMMYFUNCTION("""COMPUTED_VALUE"""),"663")</f>
        <v>663</v>
      </c>
      <c r="C7" s="40">
        <f ca="1">IFERROR(__xludf.DUMMYFUNCTION("""COMPUTED_VALUE"""),0.746048553719008)</f>
        <v>0.74604855371900802</v>
      </c>
      <c r="D7" s="40">
        <f ca="1">IFERROR(__xludf.DUMMYFUNCTION("""COMPUTED_VALUE"""),0.625697857879725)</f>
        <v>0.62569785787972498</v>
      </c>
      <c r="E7" s="40">
        <f ca="1">IFERROR(__xludf.DUMMYFUNCTION("""COMPUTED_VALUE"""),0.84)</f>
        <v>0.84</v>
      </c>
      <c r="F7" s="40">
        <f ca="1">IFERROR(__xludf.DUMMYFUNCTION("""COMPUTED_VALUE"""),0.88)</f>
        <v>0.88</v>
      </c>
      <c r="G7" s="40">
        <f ca="1">IFERROR(__xludf.DUMMYFUNCTION("""COMPUTED_VALUE"""),3.09174641159873)</f>
        <v>3.0917464115987299</v>
      </c>
      <c r="H7" s="40">
        <f ca="1">IFERROR(__xludf.DUMMYFUNCTION("""COMPUTED_VALUE"""),6)</f>
        <v>6</v>
      </c>
    </row>
    <row r="8" spans="1:8" ht="15.75" customHeight="1">
      <c r="A8" s="38" t="str">
        <f ca="1">IFERROR(__xludf.DUMMYFUNCTION("""COMPUTED_VALUE"""),"PUI CHING MIDDLE SCHOOL")</f>
        <v>PUI CHING MIDDLE SCHOOL</v>
      </c>
      <c r="B8" s="39" t="str">
        <f ca="1">IFERROR(__xludf.DUMMYFUNCTION("""COMPUTED_VALUE"""),"665")</f>
        <v>665</v>
      </c>
      <c r="C8" s="40">
        <f ca="1">IFERROR(__xludf.DUMMYFUNCTION("""COMPUTED_VALUE"""),0.714018595041322)</f>
        <v>0.71401859504132204</v>
      </c>
      <c r="D8" s="40">
        <f ca="1">IFERROR(__xludf.DUMMYFUNCTION("""COMPUTED_VALUE"""),0.668057831179076)</f>
        <v>0.66805783117907602</v>
      </c>
      <c r="E8" s="40">
        <f ca="1">IFERROR(__xludf.DUMMYFUNCTION("""COMPUTED_VALUE"""),0.679999999999999)</f>
        <v>0.67999999999999905</v>
      </c>
      <c r="F8" s="40">
        <f ca="1">IFERROR(__xludf.DUMMYFUNCTION("""COMPUTED_VALUE"""),0.91)</f>
        <v>0.91</v>
      </c>
      <c r="G8" s="40">
        <f ca="1">IFERROR(__xludf.DUMMYFUNCTION("""COMPUTED_VALUE"""),2.97207642622039)</f>
        <v>2.97207642622039</v>
      </c>
      <c r="H8" s="40">
        <f ca="1">IFERROR(__xludf.DUMMYFUNCTION("""COMPUTED_VALUE"""),7)</f>
        <v>7</v>
      </c>
    </row>
    <row r="9" spans="1:8" ht="15.75" customHeight="1">
      <c r="A9" s="38" t="str">
        <f ca="1">IFERROR(__xludf.DUMMYFUNCTION("""COMPUTED_VALUE"""),"Los Altos Community Team - Moonkeys")</f>
        <v>Los Altos Community Team - Moonkeys</v>
      </c>
      <c r="B9" s="39" t="str">
        <f ca="1">IFERROR(__xludf.DUMMYFUNCTION("""COMPUTED_VALUE"""),"329")</f>
        <v>329</v>
      </c>
      <c r="C9" s="40">
        <f ca="1">IFERROR(__xludf.DUMMYFUNCTION("""COMPUTED_VALUE"""),0.609488636363636)</f>
        <v>0.60948863636363604</v>
      </c>
      <c r="D9" s="40">
        <f ca="1">IFERROR(__xludf.DUMMYFUNCTION("""COMPUTED_VALUE"""),0.572305661751319)</f>
        <v>0.57230566175131903</v>
      </c>
      <c r="E9" s="40">
        <f ca="1">IFERROR(__xludf.DUMMYFUNCTION("""COMPUTED_VALUE"""),0.76)</f>
        <v>0.76</v>
      </c>
      <c r="F9" s="40">
        <f ca="1">IFERROR(__xludf.DUMMYFUNCTION("""COMPUTED_VALUE"""),0.96)</f>
        <v>0.96</v>
      </c>
      <c r="G9" s="40">
        <f ca="1">IFERROR(__xludf.DUMMYFUNCTION("""COMPUTED_VALUE"""),2.90179429811495)</f>
        <v>2.9017942981149498</v>
      </c>
      <c r="H9" s="40">
        <f ca="1">IFERROR(__xludf.DUMMYFUNCTION("""COMPUTED_VALUE"""),8)</f>
        <v>8</v>
      </c>
    </row>
    <row r="10" spans="1:8" ht="15.75" customHeight="1">
      <c r="A10" s="38" t="str">
        <f ca="1">IFERROR(__xludf.DUMMYFUNCTION("""COMPUTED_VALUE"""),"HTL Wien West")</f>
        <v>HTL Wien West</v>
      </c>
      <c r="B10" s="39" t="str">
        <f ca="1">IFERROR(__xludf.DUMMYFUNCTION("""COMPUTED_VALUE"""),"623")</f>
        <v>623</v>
      </c>
      <c r="C10" s="40">
        <f ca="1">IFERROR(__xludf.DUMMYFUNCTION("""COMPUTED_VALUE"""),0.569189049586776)</f>
        <v>0.56918904958677596</v>
      </c>
      <c r="D10" s="40">
        <f ca="1">IFERROR(__xludf.DUMMYFUNCTION("""COMPUTED_VALUE"""),0.595570119546088)</f>
        <v>0.59557011954608796</v>
      </c>
      <c r="E10" s="40">
        <f ca="1">IFERROR(__xludf.DUMMYFUNCTION("""COMPUTED_VALUE"""),0.84)</f>
        <v>0.84</v>
      </c>
      <c r="F10" s="40">
        <f ca="1">IFERROR(__xludf.DUMMYFUNCTION("""COMPUTED_VALUE"""),0.88)</f>
        <v>0.88</v>
      </c>
      <c r="G10" s="40">
        <f ca="1">IFERROR(__xludf.DUMMYFUNCTION("""COMPUTED_VALUE"""),2.88475916913286)</f>
        <v>2.88475916913286</v>
      </c>
      <c r="H10" s="40">
        <f ca="1">IFERROR(__xludf.DUMMYFUNCTION("""COMPUTED_VALUE"""),9)</f>
        <v>9</v>
      </c>
    </row>
    <row r="11" spans="1:8" ht="15.75" customHeight="1">
      <c r="A11" s="38" t="str">
        <f ca="1">IFERROR(__xludf.DUMMYFUNCTION("""COMPUTED_VALUE"""),"Colonial Botball")</f>
        <v>Colonial Botball</v>
      </c>
      <c r="B11" s="39" t="str">
        <f ca="1">IFERROR(__xludf.DUMMYFUNCTION("""COMPUTED_VALUE"""),"141")</f>
        <v>141</v>
      </c>
      <c r="C11" s="40">
        <f ca="1">IFERROR(__xludf.DUMMYFUNCTION("""COMPUTED_VALUE"""),0.552407024793388)</f>
        <v>0.55240702479338799</v>
      </c>
      <c r="D11" s="40">
        <f ca="1">IFERROR(__xludf.DUMMYFUNCTION("""COMPUTED_VALUE"""),0.552682201589902)</f>
        <v>0.552682201589902</v>
      </c>
      <c r="E11" s="40">
        <f ca="1">IFERROR(__xludf.DUMMYFUNCTION("""COMPUTED_VALUE"""),0.71)</f>
        <v>0.71</v>
      </c>
      <c r="F11" s="40">
        <f ca="1">IFERROR(__xludf.DUMMYFUNCTION("""COMPUTED_VALUE"""),1)</f>
        <v>1</v>
      </c>
      <c r="G11" s="40">
        <f ca="1">IFERROR(__xludf.DUMMYFUNCTION("""COMPUTED_VALUE"""),2.81508922638329)</f>
        <v>2.8150892263832898</v>
      </c>
      <c r="H11" s="40">
        <f ca="1">IFERROR(__xludf.DUMMYFUNCTION("""COMPUTED_VALUE"""),10)</f>
        <v>10</v>
      </c>
    </row>
    <row r="12" spans="1:8" ht="15.75" customHeight="1">
      <c r="A12" s="38" t="str">
        <f ca="1">IFERROR(__xludf.DUMMYFUNCTION("""COMPUTED_VALUE"""),"Noble High School")</f>
        <v>Noble High School</v>
      </c>
      <c r="B12" s="39" t="str">
        <f ca="1">IFERROR(__xludf.DUMMYFUNCTION("""COMPUTED_VALUE"""),"720")</f>
        <v>720</v>
      </c>
      <c r="C12" s="40">
        <f ca="1">IFERROR(__xludf.DUMMYFUNCTION("""COMPUTED_VALUE"""),0.534798553719008)</f>
        <v>0.53479855371900797</v>
      </c>
      <c r="D12" s="40">
        <f ca="1">IFERROR(__xludf.DUMMYFUNCTION("""COMPUTED_VALUE"""),0.472788093937738)</f>
        <v>0.47278809393773802</v>
      </c>
      <c r="E12" s="40">
        <f ca="1">IFERROR(__xludf.DUMMYFUNCTION("""COMPUTED_VALUE"""),0.796666666666666)</f>
        <v>0.79666666666666597</v>
      </c>
      <c r="F12" s="40">
        <f ca="1">IFERROR(__xludf.DUMMYFUNCTION("""COMPUTED_VALUE"""),1)</f>
        <v>1</v>
      </c>
      <c r="G12" s="40">
        <f ca="1">IFERROR(__xludf.DUMMYFUNCTION("""COMPUTED_VALUE"""),2.80425331432341)</f>
        <v>2.8042533143234101</v>
      </c>
      <c r="H12" s="40">
        <f ca="1">IFERROR(__xludf.DUMMYFUNCTION("""COMPUTED_VALUE"""),11)</f>
        <v>11</v>
      </c>
    </row>
    <row r="13" spans="1:8" ht="15.75" customHeight="1">
      <c r="A13" s="38" t="str">
        <f ca="1">IFERROR(__xludf.DUMMYFUNCTION("""COMPUTED_VALUE"""),"Noble High School")</f>
        <v>Noble High School</v>
      </c>
      <c r="B13" s="39" t="str">
        <f ca="1">IFERROR(__xludf.DUMMYFUNCTION("""COMPUTED_VALUE"""),"468")</f>
        <v>468</v>
      </c>
      <c r="C13" s="40">
        <f ca="1">IFERROR(__xludf.DUMMYFUNCTION("""COMPUTED_VALUE"""),0.66198347107438)</f>
        <v>0.66198347107438005</v>
      </c>
      <c r="D13" s="40">
        <f ca="1">IFERROR(__xludf.DUMMYFUNCTION("""COMPUTED_VALUE"""),0.504570969112203)</f>
        <v>0.504570969112203</v>
      </c>
      <c r="E13" s="40">
        <f ca="1">IFERROR(__xludf.DUMMYFUNCTION("""COMPUTED_VALUE"""),0.679999999999999)</f>
        <v>0.67999999999999905</v>
      </c>
      <c r="F13" s="40">
        <f ca="1">IFERROR(__xludf.DUMMYFUNCTION("""COMPUTED_VALUE"""),0.95)</f>
        <v>0.95</v>
      </c>
      <c r="G13" s="40">
        <f ca="1">IFERROR(__xludf.DUMMYFUNCTION("""COMPUTED_VALUE"""),2.79655444018658)</f>
        <v>2.7965544401865801</v>
      </c>
      <c r="H13" s="40">
        <f ca="1">IFERROR(__xludf.DUMMYFUNCTION("""COMPUTED_VALUE"""),12)</f>
        <v>12</v>
      </c>
    </row>
    <row r="14" spans="1:8" ht="15.75" customHeight="1">
      <c r="A14" s="38" t="str">
        <f ca="1">IFERROR(__xludf.DUMMYFUNCTION("""COMPUTED_VALUE"""),"Radiant Robotics - Irvine")</f>
        <v>Radiant Robotics - Irvine</v>
      </c>
      <c r="B14" s="39" t="str">
        <f ca="1">IFERROR(__xludf.DUMMYFUNCTION("""COMPUTED_VALUE"""),"927")</f>
        <v>927</v>
      </c>
      <c r="C14" s="40">
        <f ca="1">IFERROR(__xludf.DUMMYFUNCTION("""COMPUTED_VALUE"""),0.688063016528925)</f>
        <v>0.68806301652892499</v>
      </c>
      <c r="D14" s="40">
        <f ca="1">IFERROR(__xludf.DUMMYFUNCTION("""COMPUTED_VALUE"""),0.489334911098974)</f>
        <v>0.48933491109897398</v>
      </c>
      <c r="E14" s="40">
        <f ca="1">IFERROR(__xludf.DUMMYFUNCTION("""COMPUTED_VALUE"""),0.679999999999999)</f>
        <v>0.67999999999999905</v>
      </c>
      <c r="F14" s="40">
        <f ca="1">IFERROR(__xludf.DUMMYFUNCTION("""COMPUTED_VALUE"""),0.92)</f>
        <v>0.92</v>
      </c>
      <c r="G14" s="40">
        <f ca="1">IFERROR(__xludf.DUMMYFUNCTION("""COMPUTED_VALUE"""),2.7773979276279)</f>
        <v>2.7773979276278999</v>
      </c>
      <c r="H14" s="40">
        <f ca="1">IFERROR(__xludf.DUMMYFUNCTION("""COMPUTED_VALUE"""),13)</f>
        <v>13</v>
      </c>
    </row>
    <row r="15" spans="1:8" ht="15.75" customHeight="1">
      <c r="A15" s="38" t="str">
        <f ca="1">IFERROR(__xludf.DUMMYFUNCTION("""COMPUTED_VALUE"""),"Westchester Academy for International Studies")</f>
        <v>Westchester Academy for International Studies</v>
      </c>
      <c r="B15" s="39" t="str">
        <f ca="1">IFERROR(__xludf.DUMMYFUNCTION("""COMPUTED_VALUE"""),"840")</f>
        <v>840</v>
      </c>
      <c r="C15" s="40">
        <f ca="1">IFERROR(__xludf.DUMMYFUNCTION("""COMPUTED_VALUE"""),0.625361570247933)</f>
        <v>0.62536157024793304</v>
      </c>
      <c r="D15" s="40">
        <f ca="1">IFERROR(__xludf.DUMMYFUNCTION("""COMPUTED_VALUE"""),0.536517689180168)</f>
        <v>0.53651768918016796</v>
      </c>
      <c r="E15" s="40">
        <f ca="1">IFERROR(__xludf.DUMMYFUNCTION("""COMPUTED_VALUE"""),0.52)</f>
        <v>0.52</v>
      </c>
      <c r="F15" s="40">
        <f ca="1">IFERROR(__xludf.DUMMYFUNCTION("""COMPUTED_VALUE"""),1)</f>
        <v>1</v>
      </c>
      <c r="G15" s="40">
        <f ca="1">IFERROR(__xludf.DUMMYFUNCTION("""COMPUTED_VALUE"""),2.6818792594281)</f>
        <v>2.6818792594280998</v>
      </c>
      <c r="H15" s="40">
        <f ca="1">IFERROR(__xludf.DUMMYFUNCTION("""COMPUTED_VALUE"""),14)</f>
        <v>14</v>
      </c>
    </row>
    <row r="16" spans="1:8" ht="15.75" customHeight="1">
      <c r="A16" s="38" t="str">
        <f ca="1">IFERROR(__xludf.DUMMYFUNCTION("""COMPUTED_VALUE"""),"Radiant Robotics - Boom")</f>
        <v>Radiant Robotics - Boom</v>
      </c>
      <c r="B16" s="39" t="str">
        <f ca="1">IFERROR(__xludf.DUMMYFUNCTION("""COMPUTED_VALUE"""),"926")</f>
        <v>926</v>
      </c>
      <c r="C16" s="40">
        <f ca="1">IFERROR(__xludf.DUMMYFUNCTION("""COMPUTED_VALUE"""),0.516198347107438)</f>
        <v>0.51619834710743795</v>
      </c>
      <c r="D16" s="40">
        <f ca="1">IFERROR(__xludf.DUMMYFUNCTION("""COMPUTED_VALUE"""),0.644465683597305)</f>
        <v>0.64446568359730505</v>
      </c>
      <c r="E16" s="40">
        <f ca="1">IFERROR(__xludf.DUMMYFUNCTION("""COMPUTED_VALUE"""),0.679999999999999)</f>
        <v>0.67999999999999905</v>
      </c>
      <c r="F16" s="40">
        <f ca="1">IFERROR(__xludf.DUMMYFUNCTION("""COMPUTED_VALUE"""),0.82)</f>
        <v>0.82</v>
      </c>
      <c r="G16" s="40">
        <f ca="1">IFERROR(__xludf.DUMMYFUNCTION("""COMPUTED_VALUE"""),2.66066403070474)</f>
        <v>2.6606640307047398</v>
      </c>
      <c r="H16" s="40">
        <f ca="1">IFERROR(__xludf.DUMMYFUNCTION("""COMPUTED_VALUE"""),15)</f>
        <v>15</v>
      </c>
    </row>
    <row r="17" spans="1:8" ht="15.75" customHeight="1">
      <c r="A17" s="38" t="str">
        <f ca="1">IFERROR(__xludf.DUMMYFUNCTION("""COMPUTED_VALUE"""),"Dead Robot Society")</f>
        <v>Dead Robot Society</v>
      </c>
      <c r="B17" s="39" t="str">
        <f ca="1">IFERROR(__xludf.DUMMYFUNCTION("""COMPUTED_VALUE"""),"6")</f>
        <v>6</v>
      </c>
      <c r="C17" s="40">
        <f ca="1">IFERROR(__xludf.DUMMYFUNCTION("""COMPUTED_VALUE"""),0.399922520661157)</f>
        <v>0.39992252066115702</v>
      </c>
      <c r="D17" s="40">
        <f ca="1">IFERROR(__xludf.DUMMYFUNCTION("""COMPUTED_VALUE"""),0.521318041143273)</f>
        <v>0.52131804114327296</v>
      </c>
      <c r="E17" s="40">
        <f ca="1">IFERROR(__xludf.DUMMYFUNCTION("""COMPUTED_VALUE"""),0.666666666666666)</f>
        <v>0.66666666666666596</v>
      </c>
      <c r="F17" s="40">
        <f ca="1">IFERROR(__xludf.DUMMYFUNCTION("""COMPUTED_VALUE"""),0.98)</f>
        <v>0.98</v>
      </c>
      <c r="G17" s="40">
        <f ca="1">IFERROR(__xludf.DUMMYFUNCTION("""COMPUTED_VALUE"""),2.56790722847109)</f>
        <v>2.56790722847109</v>
      </c>
      <c r="H17" s="40">
        <f ca="1">IFERROR(__xludf.DUMMYFUNCTION("""COMPUTED_VALUE"""),16)</f>
        <v>16</v>
      </c>
    </row>
    <row r="18" spans="1:8" ht="15.75" customHeight="1">
      <c r="A18" s="38" t="str">
        <f ca="1">IFERROR(__xludf.DUMMYFUNCTION("""COMPUTED_VALUE"""),"Malden Catholic High School - James Bond")</f>
        <v>Malden Catholic High School - James Bond</v>
      </c>
      <c r="B18" s="39" t="str">
        <f ca="1">IFERROR(__xludf.DUMMYFUNCTION("""COMPUTED_VALUE"""),"7")</f>
        <v>7</v>
      </c>
      <c r="C18" s="40">
        <f ca="1">IFERROR(__xludf.DUMMYFUNCTION("""COMPUTED_VALUE"""),0.590805785123967)</f>
        <v>0.59080578512396698</v>
      </c>
      <c r="D18" s="40">
        <f ca="1">IFERROR(__xludf.DUMMYFUNCTION("""COMPUTED_VALUE"""),0.458862795072516)</f>
        <v>0.45886279507251598</v>
      </c>
      <c r="E18" s="40">
        <f ca="1">IFERROR(__xludf.DUMMYFUNCTION("""COMPUTED_VALUE"""),0.493333333333333)</f>
        <v>0.49333333333333301</v>
      </c>
      <c r="F18" s="40">
        <f ca="1">IFERROR(__xludf.DUMMYFUNCTION("""COMPUTED_VALUE"""),0.98)</f>
        <v>0.98</v>
      </c>
      <c r="G18" s="40">
        <f ca="1">IFERROR(__xludf.DUMMYFUNCTION("""COMPUTED_VALUE"""),2.52300191352981)</f>
        <v>2.5230019135298098</v>
      </c>
      <c r="H18" s="40">
        <f ca="1">IFERROR(__xludf.DUMMYFUNCTION("""COMPUTED_VALUE"""),17)</f>
        <v>17</v>
      </c>
    </row>
    <row r="19" spans="1:8" ht="15.75" customHeight="1">
      <c r="A19" s="38" t="str">
        <f ca="1">IFERROR(__xludf.DUMMYFUNCTION("""COMPUTED_VALUE"""),"Beanstalk International Bilingual School-Unicorn")</f>
        <v>Beanstalk International Bilingual School-Unicorn</v>
      </c>
      <c r="B19" s="39" t="str">
        <f ca="1">IFERROR(__xludf.DUMMYFUNCTION("""COMPUTED_VALUE"""),"662")</f>
        <v>662</v>
      </c>
      <c r="C19" s="40">
        <f ca="1">IFERROR(__xludf.DUMMYFUNCTION("""COMPUTED_VALUE"""),0.646110537190082)</f>
        <v>0.64611053719008205</v>
      </c>
      <c r="D19" s="40">
        <f ca="1">IFERROR(__xludf.DUMMYFUNCTION("""COMPUTED_VALUE"""),0.198176467018629)</f>
        <v>0.19817646701862901</v>
      </c>
      <c r="E19" s="40">
        <f ca="1">IFERROR(__xludf.DUMMYFUNCTION("""COMPUTED_VALUE"""),0.753333333333333)</f>
        <v>0.75333333333333297</v>
      </c>
      <c r="F19" s="40">
        <f ca="1">IFERROR(__xludf.DUMMYFUNCTION("""COMPUTED_VALUE"""),0.91)</f>
        <v>0.91</v>
      </c>
      <c r="G19" s="40">
        <f ca="1">IFERROR(__xludf.DUMMYFUNCTION("""COMPUTED_VALUE"""),2.50762033754204)</f>
        <v>2.5076203375420398</v>
      </c>
      <c r="H19" s="40">
        <f ca="1">IFERROR(__xludf.DUMMYFUNCTION("""COMPUTED_VALUE"""),18)</f>
        <v>18</v>
      </c>
    </row>
    <row r="20" spans="1:8" ht="15.75" customHeight="1">
      <c r="A20" s="38" t="str">
        <f ca="1">IFERROR(__xludf.DUMMYFUNCTION("""COMPUTED_VALUE"""),"Radiant Robotics - Arcadia")</f>
        <v>Radiant Robotics - Arcadia</v>
      </c>
      <c r="B20" s="39" t="str">
        <f ca="1">IFERROR(__xludf.DUMMYFUNCTION("""COMPUTED_VALUE"""),"813")</f>
        <v>813</v>
      </c>
      <c r="C20" s="40">
        <f ca="1">IFERROR(__xludf.DUMMYFUNCTION("""COMPUTED_VALUE"""),0.350816115702479)</f>
        <v>0.350816115702479</v>
      </c>
      <c r="D20" s="40">
        <f ca="1">IFERROR(__xludf.DUMMYFUNCTION("""COMPUTED_VALUE"""),0.414428970204502)</f>
        <v>0.41442897020450198</v>
      </c>
      <c r="E20" s="40">
        <f ca="1">IFERROR(__xludf.DUMMYFUNCTION("""COMPUTED_VALUE"""),0.84)</f>
        <v>0.84</v>
      </c>
      <c r="F20" s="40">
        <f ca="1">IFERROR(__xludf.DUMMYFUNCTION("""COMPUTED_VALUE"""),0.85)</f>
        <v>0.85</v>
      </c>
      <c r="G20" s="40">
        <f ca="1">IFERROR(__xludf.DUMMYFUNCTION("""COMPUTED_VALUE"""),2.45524508590698)</f>
        <v>2.4552450859069799</v>
      </c>
      <c r="H20" s="40">
        <f ca="1">IFERROR(__xludf.DUMMYFUNCTION("""COMPUTED_VALUE"""),19)</f>
        <v>19</v>
      </c>
    </row>
    <row r="21" spans="1:8" ht="15.75" customHeight="1">
      <c r="A21" s="38" t="str">
        <f ca="1">IFERROR(__xludf.DUMMYFUNCTION("""COMPUTED_VALUE"""),"Jerome High School - Frog Fleet")</f>
        <v>Jerome High School - Frog Fleet</v>
      </c>
      <c r="B21" s="39" t="str">
        <f ca="1">IFERROR(__xludf.DUMMYFUNCTION("""COMPUTED_VALUE"""),"822")</f>
        <v>822</v>
      </c>
      <c r="C21" s="40">
        <f ca="1">IFERROR(__xludf.DUMMYFUNCTION("""COMPUTED_VALUE"""),0.481105371900826)</f>
        <v>0.48110537190082597</v>
      </c>
      <c r="D21" s="40">
        <f ca="1">IFERROR(__xludf.DUMMYFUNCTION("""COMPUTED_VALUE"""),0.339923539049699)</f>
        <v>0.33992353904969902</v>
      </c>
      <c r="E21" s="40">
        <f ca="1">IFERROR(__xludf.DUMMYFUNCTION("""COMPUTED_VALUE"""),0.666666666666666)</f>
        <v>0.66666666666666596</v>
      </c>
      <c r="F21" s="40">
        <f ca="1">IFERROR(__xludf.DUMMYFUNCTION("""COMPUTED_VALUE"""),0.96)</f>
        <v>0.96</v>
      </c>
      <c r="G21" s="40">
        <f ca="1">IFERROR(__xludf.DUMMYFUNCTION("""COMPUTED_VALUE"""),2.44769557761719)</f>
        <v>2.44769557761719</v>
      </c>
      <c r="H21" s="40">
        <f ca="1">IFERROR(__xludf.DUMMYFUNCTION("""COMPUTED_VALUE"""),20)</f>
        <v>20</v>
      </c>
    </row>
    <row r="22" spans="1:8" ht="15.75" customHeight="1">
      <c r="A22" s="38" t="str">
        <f ca="1">IFERROR(__xludf.DUMMYFUNCTION("""COMPUTED_VALUE"""),"Westchester Academy for International Studies")</f>
        <v>Westchester Academy for International Studies</v>
      </c>
      <c r="B22" s="39" t="str">
        <f ca="1">IFERROR(__xludf.DUMMYFUNCTION("""COMPUTED_VALUE"""),"151")</f>
        <v>151</v>
      </c>
      <c r="C22" s="40">
        <f ca="1">IFERROR(__xludf.DUMMYFUNCTION("""COMPUTED_VALUE"""),0.383057851239669)</f>
        <v>0.38305785123966901</v>
      </c>
      <c r="D22" s="40">
        <f ca="1">IFERROR(__xludf.DUMMYFUNCTION("""COMPUTED_VALUE"""),0.400521876327447)</f>
        <v>0.40052187632744701</v>
      </c>
      <c r="E22" s="40">
        <f ca="1">IFERROR(__xludf.DUMMYFUNCTION("""COMPUTED_VALUE"""),0.58)</f>
        <v>0.57999999999999996</v>
      </c>
      <c r="F22" s="40">
        <f ca="1">IFERROR(__xludf.DUMMYFUNCTION("""COMPUTED_VALUE"""),0.98)</f>
        <v>0.98</v>
      </c>
      <c r="G22" s="40">
        <f ca="1">IFERROR(__xludf.DUMMYFUNCTION("""COMPUTED_VALUE"""),2.34357972756711)</f>
        <v>2.3435797275671102</v>
      </c>
      <c r="H22" s="40">
        <f ca="1">IFERROR(__xludf.DUMMYFUNCTION("""COMPUTED_VALUE"""),21)</f>
        <v>21</v>
      </c>
    </row>
    <row r="23" spans="1:8" ht="15.75" customHeight="1">
      <c r="A23" s="38" t="str">
        <f ca="1">IFERROR(__xludf.DUMMYFUNCTION("""COMPUTED_VALUE"""),"Tucumcari")</f>
        <v>Tucumcari</v>
      </c>
      <c r="B23" s="39" t="str">
        <f ca="1">IFERROR(__xludf.DUMMYFUNCTION("""COMPUTED_VALUE"""),"805")</f>
        <v>805</v>
      </c>
      <c r="C23" s="40">
        <f ca="1">IFERROR(__xludf.DUMMYFUNCTION("""COMPUTED_VALUE"""),0.449028925619834)</f>
        <v>0.44902892561983399</v>
      </c>
      <c r="D23" s="40">
        <f ca="1">IFERROR(__xludf.DUMMYFUNCTION("""COMPUTED_VALUE"""),0.444391346562291)</f>
        <v>0.44439134656229101</v>
      </c>
      <c r="E23" s="40">
        <f ca="1">IFERROR(__xludf.DUMMYFUNCTION("""COMPUTED_VALUE"""),0.493333333333333)</f>
        <v>0.49333333333333301</v>
      </c>
      <c r="F23" s="40">
        <f ca="1">IFERROR(__xludf.DUMMYFUNCTION("""COMPUTED_VALUE"""),0.92)</f>
        <v>0.92</v>
      </c>
      <c r="G23" s="40">
        <f ca="1">IFERROR(__xludf.DUMMYFUNCTION("""COMPUTED_VALUE"""),2.30675360551545)</f>
        <v>2.3067536055154498</v>
      </c>
      <c r="H23" s="40">
        <f ca="1">IFERROR(__xludf.DUMMYFUNCTION("""COMPUTED_VALUE"""),22)</f>
        <v>22</v>
      </c>
    </row>
    <row r="24" spans="1:8" ht="15.75" customHeight="1">
      <c r="A24" s="38" t="str">
        <f ca="1">IFERROR(__xludf.DUMMYFUNCTION("""COMPUTED_VALUE"""),"Jerome High School - Golden Girls")</f>
        <v>Jerome High School - Golden Girls</v>
      </c>
      <c r="B24" s="39" t="str">
        <f ca="1">IFERROR(__xludf.DUMMYFUNCTION("""COMPUTED_VALUE"""),"821")</f>
        <v>821</v>
      </c>
      <c r="C24" s="40">
        <f ca="1">IFERROR(__xludf.DUMMYFUNCTION("""COMPUTED_VALUE"""),0.255371900826446)</f>
        <v>0.25537190082644601</v>
      </c>
      <c r="D24" s="40">
        <f ca="1">IFERROR(__xludf.DUMMYFUNCTION("""COMPUTED_VALUE"""),0.383392499544875)</f>
        <v>0.38339249954487498</v>
      </c>
      <c r="E24" s="40">
        <f ca="1">IFERROR(__xludf.DUMMYFUNCTION("""COMPUTED_VALUE"""),0.564444444444444)</f>
        <v>0.56444444444444397</v>
      </c>
      <c r="F24" s="40">
        <f ca="1">IFERROR(__xludf.DUMMYFUNCTION("""COMPUTED_VALUE"""),0.97)</f>
        <v>0.97</v>
      </c>
      <c r="G24" s="40">
        <f ca="1">IFERROR(__xludf.DUMMYFUNCTION("""COMPUTED_VALUE"""),2.17320884481576)</f>
        <v>2.1732088448157598</v>
      </c>
      <c r="H24" s="40">
        <f ca="1">IFERROR(__xludf.DUMMYFUNCTION("""COMPUTED_VALUE"""),23)</f>
        <v>23</v>
      </c>
    </row>
    <row r="25" spans="1:8" ht="13.2">
      <c r="A25" s="38" t="str">
        <f ca="1">IFERROR(__xludf.DUMMYFUNCTION("""COMPUTED_VALUE"""),"Rhoades")</f>
        <v>Rhoades</v>
      </c>
      <c r="B25" s="39" t="str">
        <f ca="1">IFERROR(__xludf.DUMMYFUNCTION("""COMPUTED_VALUE"""),"340")</f>
        <v>340</v>
      </c>
      <c r="C25" s="40">
        <f ca="1">IFERROR(__xludf.DUMMYFUNCTION("""COMPUTED_VALUE"""),0.499953512396694)</f>
        <v>0.499953512396694</v>
      </c>
      <c r="D25" s="40">
        <f ca="1">IFERROR(__xludf.DUMMYFUNCTION("""COMPUTED_VALUE"""),0.170143819406517)</f>
        <v>0.17014381940651699</v>
      </c>
      <c r="E25" s="40">
        <f ca="1">IFERROR(__xludf.DUMMYFUNCTION("""COMPUTED_VALUE"""),0.679999999999999)</f>
        <v>0.67999999999999905</v>
      </c>
      <c r="F25" s="40">
        <f ca="1">IFERROR(__xludf.DUMMYFUNCTION("""COMPUTED_VALUE"""),0.79)</f>
        <v>0.79</v>
      </c>
      <c r="G25" s="40">
        <f ca="1">IFERROR(__xludf.DUMMYFUNCTION("""COMPUTED_VALUE"""),2.14009733180321)</f>
        <v>2.1400973318032102</v>
      </c>
      <c r="H25" s="40">
        <f ca="1">IFERROR(__xludf.DUMMYFUNCTION("""COMPUTED_VALUE"""),24)</f>
        <v>24</v>
      </c>
    </row>
    <row r="26" spans="1:8" ht="13.2">
      <c r="A26" s="38" t="str">
        <f ca="1">IFERROR(__xludf.DUMMYFUNCTION("""COMPUTED_VALUE"""),"1010 Post Explorer")</f>
        <v>1010 Post Explorer</v>
      </c>
      <c r="B26" s="39" t="str">
        <f ca="1">IFERROR(__xludf.DUMMYFUNCTION("""COMPUTED_VALUE"""),"160")</f>
        <v>160</v>
      </c>
      <c r="C26" s="40">
        <f ca="1">IFERROR(__xludf.DUMMYFUNCTION("""COMPUTED_VALUE"""),0.367184917355371)</f>
        <v>0.36718491735537101</v>
      </c>
      <c r="D26" s="40">
        <f ca="1">IFERROR(__xludf.DUMMYFUNCTION("""COMPUTED_VALUE"""),0.368192851507979)</f>
        <v>0.36819285150797898</v>
      </c>
      <c r="E26" s="40">
        <f ca="1">IFERROR(__xludf.DUMMYFUNCTION("""COMPUTED_VALUE"""),0.493333333333333)</f>
        <v>0.49333333333333301</v>
      </c>
      <c r="F26" s="40">
        <f ca="1">IFERROR(__xludf.DUMMYFUNCTION("""COMPUTED_VALUE"""),0.9)</f>
        <v>0.9</v>
      </c>
      <c r="G26" s="40">
        <f ca="1">IFERROR(__xludf.DUMMYFUNCTION("""COMPUTED_VALUE"""),2.12871110219668)</f>
        <v>2.12871110219668</v>
      </c>
      <c r="H26" s="40">
        <f ca="1">IFERROR(__xludf.DUMMYFUNCTION("""COMPUTED_VALUE"""),25)</f>
        <v>25</v>
      </c>
    </row>
    <row r="27" spans="1:8" ht="13.2">
      <c r="A27" s="38" t="str">
        <f ca="1">IFERROR(__xludf.DUMMYFUNCTION("""COMPUTED_VALUE"""),"Norman Advanced Robotics")</f>
        <v>Norman Advanced Robotics</v>
      </c>
      <c r="B27" s="39" t="str">
        <f ca="1">IFERROR(__xludf.DUMMYFUNCTION("""COMPUTED_VALUE"""),"113")</f>
        <v>113</v>
      </c>
      <c r="C27" s="40">
        <f ca="1">IFERROR(__xludf.DUMMYFUNCTION("""COMPUTED_VALUE"""),0.144137396694214)</f>
        <v>0.14413739669421399</v>
      </c>
      <c r="D27" s="40">
        <f ca="1">IFERROR(__xludf.DUMMYFUNCTION("""COMPUTED_VALUE"""),0.325998240184477)</f>
        <v>0.32599824018447698</v>
      </c>
      <c r="E27" s="40">
        <f ca="1">IFERROR(__xludf.DUMMYFUNCTION("""COMPUTED_VALUE"""),0.622222222222222)</f>
        <v>0.62222222222222201</v>
      </c>
      <c r="F27" s="40">
        <f ca="1">IFERROR(__xludf.DUMMYFUNCTION("""COMPUTED_VALUE"""),1)</f>
        <v>1</v>
      </c>
      <c r="G27" s="40">
        <f ca="1">IFERROR(__xludf.DUMMYFUNCTION("""COMPUTED_VALUE"""),2.09235785910091)</f>
        <v>2.0923578591009102</v>
      </c>
      <c r="H27" s="40">
        <f ca="1">IFERROR(__xludf.DUMMYFUNCTION("""COMPUTED_VALUE"""),26)</f>
        <v>26</v>
      </c>
    </row>
    <row r="28" spans="1:8" ht="13.2">
      <c r="A28" s="38" t="str">
        <f ca="1">IFERROR(__xludf.DUMMYFUNCTION("""COMPUTED_VALUE"""),"Stratford")</f>
        <v>Stratford</v>
      </c>
      <c r="B28" s="39" t="str">
        <f ca="1">IFERROR(__xludf.DUMMYFUNCTION("""COMPUTED_VALUE"""),"828")</f>
        <v>828</v>
      </c>
      <c r="C28" s="40">
        <f ca="1">IFERROR(__xludf.DUMMYFUNCTION("""COMPUTED_VALUE"""),0.416291322314049)</f>
        <v>0.41629132231404897</v>
      </c>
      <c r="D28" s="40">
        <f ca="1">IFERROR(__xludf.DUMMYFUNCTION("""COMPUTED_VALUE"""),0.312072941319254)</f>
        <v>0.312072941319254</v>
      </c>
      <c r="E28" s="40">
        <f ca="1">IFERROR(__xludf.DUMMYFUNCTION("""COMPUTED_VALUE"""),0.58)</f>
        <v>0.57999999999999996</v>
      </c>
      <c r="F28" s="40">
        <f ca="1">IFERROR(__xludf.DUMMYFUNCTION("""COMPUTED_VALUE"""),0.78)</f>
        <v>0.78</v>
      </c>
      <c r="G28" s="40">
        <f ca="1">IFERROR(__xludf.DUMMYFUNCTION("""COMPUTED_VALUE"""),2.0883642636333)</f>
        <v>2.0883642636333</v>
      </c>
      <c r="H28" s="40">
        <f ca="1">IFERROR(__xludf.DUMMYFUNCTION("""COMPUTED_VALUE"""),27)</f>
        <v>27</v>
      </c>
    </row>
    <row r="29" spans="1:8" ht="13.2">
      <c r="A29" s="38" t="str">
        <f ca="1">IFERROR(__xludf.DUMMYFUNCTION("""COMPUTED_VALUE"""),"La Quinta High School")</f>
        <v>La Quinta High School</v>
      </c>
      <c r="B29" s="39" t="str">
        <f ca="1">IFERROR(__xludf.DUMMYFUNCTION("""COMPUTED_VALUE"""),"844")</f>
        <v>844</v>
      </c>
      <c r="C29" s="40">
        <f ca="1">IFERROR(__xludf.DUMMYFUNCTION("""COMPUTED_VALUE"""),0.286993801652892)</f>
        <v>0.28699380165289201</v>
      </c>
      <c r="D29" s="40">
        <f ca="1">IFERROR(__xludf.DUMMYFUNCTION("""COMPUTED_VALUE"""),0.269332180350749)</f>
        <v>0.26933218035074902</v>
      </c>
      <c r="E29" s="40">
        <f ca="1">IFERROR(__xludf.DUMMYFUNCTION("""COMPUTED_VALUE"""),0.506666666666666)</f>
        <v>0.50666666666666604</v>
      </c>
      <c r="F29" s="40">
        <f ca="1">IFERROR(__xludf.DUMMYFUNCTION("""COMPUTED_VALUE"""),1)</f>
        <v>1</v>
      </c>
      <c r="G29" s="40">
        <f ca="1">IFERROR(__xludf.DUMMYFUNCTION("""COMPUTED_VALUE"""),2.0629926486703)</f>
        <v>2.0629926486703001</v>
      </c>
      <c r="H29" s="40">
        <f ca="1">IFERROR(__xludf.DUMMYFUNCTION("""COMPUTED_VALUE"""),28)</f>
        <v>28</v>
      </c>
    </row>
    <row r="30" spans="1:8" ht="13.2">
      <c r="A30" s="38" t="str">
        <f ca="1">IFERROR(__xludf.DUMMYFUNCTION("""COMPUTED_VALUE"""),"Noble Public Schools")</f>
        <v>Noble Public Schools</v>
      </c>
      <c r="B30" s="39" t="str">
        <f ca="1">IFERROR(__xludf.DUMMYFUNCTION("""COMPUTED_VALUE"""),"928")</f>
        <v>928</v>
      </c>
      <c r="C30" s="40">
        <f ca="1">IFERROR(__xludf.DUMMYFUNCTION("""COMPUTED_VALUE"""),0.46510847107438)</f>
        <v>0.46510847107438003</v>
      </c>
      <c r="D30" s="40">
        <f ca="1">IFERROR(__xludf.DUMMYFUNCTION("""COMPUTED_VALUE"""),0.430101947933733)</f>
        <v>0.43010194793373302</v>
      </c>
      <c r="E30" s="40">
        <f ca="1">IFERROR(__xludf.DUMMYFUNCTION("""COMPUTED_VALUE"""),0.493333333333333)</f>
        <v>0.49333333333333301</v>
      </c>
      <c r="F30" s="40">
        <f ca="1">IFERROR(__xludf.DUMMYFUNCTION("""COMPUTED_VALUE"""),0.64)</f>
        <v>0.64</v>
      </c>
      <c r="G30" s="40">
        <f ca="1">IFERROR(__xludf.DUMMYFUNCTION("""COMPUTED_VALUE"""),2.02854375234144)</f>
        <v>2.0285437523414398</v>
      </c>
      <c r="H30" s="40">
        <f ca="1">IFERROR(__xludf.DUMMYFUNCTION("""COMPUTED_VALUE"""),29)</f>
        <v>29</v>
      </c>
    </row>
    <row r="31" spans="1:8" ht="13.2">
      <c r="A31" s="38" t="str">
        <f ca="1">IFERROR(__xludf.DUMMYFUNCTION("""COMPUTED_VALUE"""),"La Quinta Middle School")</f>
        <v>La Quinta Middle School</v>
      </c>
      <c r="B31" s="39" t="str">
        <f ca="1">IFERROR(__xludf.DUMMYFUNCTION("""COMPUTED_VALUE"""),"843")</f>
        <v>843</v>
      </c>
      <c r="C31" s="40">
        <f ca="1">IFERROR(__xludf.DUMMYFUNCTION("""COMPUTED_VALUE"""),0.271203512396694)</f>
        <v>0.27120351239669399</v>
      </c>
      <c r="D31" s="40">
        <f ca="1">IFERROR(__xludf.DUMMYFUNCTION("""COMPUTED_VALUE"""),0.353976272832089)</f>
        <v>0.35397627283208899</v>
      </c>
      <c r="E31" s="40">
        <f ca="1">IFERROR(__xludf.DUMMYFUNCTION("""COMPUTED_VALUE"""),0.448888888888888)</f>
        <v>0.448888888888888</v>
      </c>
      <c r="F31" s="40">
        <f ca="1">IFERROR(__xludf.DUMMYFUNCTION("""COMPUTED_VALUE"""),0.95)</f>
        <v>0.95</v>
      </c>
      <c r="G31" s="40">
        <f ca="1">IFERROR(__xludf.DUMMYFUNCTION("""COMPUTED_VALUE"""),2.02406867411767)</f>
        <v>2.0240686741176699</v>
      </c>
      <c r="H31" s="40">
        <f ca="1">IFERROR(__xludf.DUMMYFUNCTION("""COMPUTED_VALUE"""),30)</f>
        <v>30</v>
      </c>
    </row>
    <row r="32" spans="1:8" ht="13.2">
      <c r="A32" s="38" t="str">
        <f ca="1">IFERROR(__xludf.DUMMYFUNCTION("""COMPUTED_VALUE"""),"Great Mills High School")</f>
        <v>Great Mills High School</v>
      </c>
      <c r="B32" s="39" t="str">
        <f ca="1">IFERROR(__xludf.DUMMYFUNCTION("""COMPUTED_VALUE"""),"877")</f>
        <v>877</v>
      </c>
      <c r="C32" s="40">
        <f ca="1">IFERROR(__xludf.DUMMYFUNCTION("""COMPUTED_VALUE"""),0.302949380165289)</f>
        <v>0.302949380165289</v>
      </c>
      <c r="D32" s="40">
        <f ca="1">IFERROR(__xludf.DUMMYFUNCTION("""COMPUTED_VALUE"""),0.226846289216578)</f>
        <v>0.22684628921657801</v>
      </c>
      <c r="E32" s="40">
        <f ca="1">IFERROR(__xludf.DUMMYFUNCTION("""COMPUTED_VALUE"""),0.448888888888888)</f>
        <v>0.448888888888888</v>
      </c>
      <c r="F32" s="40">
        <f ca="1">IFERROR(__xludf.DUMMYFUNCTION("""COMPUTED_VALUE"""),0.97)</f>
        <v>0.97</v>
      </c>
      <c r="G32" s="40">
        <f ca="1">IFERROR(__xludf.DUMMYFUNCTION("""COMPUTED_VALUE"""),1.94868455827075)</f>
        <v>1.9486845582707499</v>
      </c>
      <c r="H32" s="40">
        <f ca="1">IFERROR(__xludf.DUMMYFUNCTION("""COMPUTED_VALUE"""),31)</f>
        <v>31</v>
      </c>
    </row>
    <row r="33" spans="1:8" ht="13.2">
      <c r="A33" s="38" t="str">
        <f ca="1">IFERROR(__xludf.DUMMYFUNCTION("""COMPUTED_VALUE"""),"Galileo STEM Academy")</f>
        <v>Galileo STEM Academy</v>
      </c>
      <c r="B33" s="39" t="str">
        <f ca="1">IFERROR(__xludf.DUMMYFUNCTION("""COMPUTED_VALUE"""),"700")</f>
        <v>700</v>
      </c>
      <c r="C33" s="40">
        <f ca="1">IFERROR(__xludf.DUMMYFUNCTION("""COMPUTED_VALUE"""),0.432990702479338)</f>
        <v>0.43299070247933802</v>
      </c>
      <c r="D33" s="40">
        <f ca="1">IFERROR(__xludf.DUMMYFUNCTION("""COMPUTED_VALUE"""),0.283312094180472)</f>
        <v>0.28331209418047199</v>
      </c>
      <c r="E33" s="40">
        <f ca="1">IFERROR(__xludf.DUMMYFUNCTION("""COMPUTED_VALUE"""),0.333333333333333)</f>
        <v>0.33333333333333298</v>
      </c>
      <c r="F33" s="40">
        <f ca="1">IFERROR(__xludf.DUMMYFUNCTION("""COMPUTED_VALUE"""),0.83)</f>
        <v>0.83</v>
      </c>
      <c r="G33" s="40">
        <f ca="1">IFERROR(__xludf.DUMMYFUNCTION("""COMPUTED_VALUE"""),1.87963612999314)</f>
        <v>1.8796361299931399</v>
      </c>
      <c r="H33" s="40">
        <f ca="1">IFERROR(__xludf.DUMMYFUNCTION("""COMPUTED_VALUE"""),32)</f>
        <v>32</v>
      </c>
    </row>
    <row r="34" spans="1:8" ht="13.2">
      <c r="A34" s="38" t="str">
        <f ca="1">IFERROR(__xludf.DUMMYFUNCTION("""COMPUTED_VALUE"""),"Tucumcari")</f>
        <v>Tucumcari</v>
      </c>
      <c r="B34" s="39" t="str">
        <f ca="1">IFERROR(__xludf.DUMMYFUNCTION("""COMPUTED_VALUE"""),"310")</f>
        <v>310</v>
      </c>
      <c r="C34" s="40">
        <f ca="1">IFERROR(__xludf.DUMMYFUNCTION("""COMPUTED_VALUE"""),0.239127066115702)</f>
        <v>0.239127066115702</v>
      </c>
      <c r="D34" s="40">
        <f ca="1">IFERROR(__xludf.DUMMYFUNCTION("""COMPUTED_VALUE"""),0.113823654347958)</f>
        <v>0.11382365434795801</v>
      </c>
      <c r="E34" s="40">
        <f ca="1">IFERROR(__xludf.DUMMYFUNCTION("""COMPUTED_VALUE"""),0.445714285714285)</f>
        <v>0.44571428571428501</v>
      </c>
      <c r="F34" s="40">
        <f ca="1">IFERROR(__xludf.DUMMYFUNCTION("""COMPUTED_VALUE"""),0.95)</f>
        <v>0.95</v>
      </c>
      <c r="G34" s="40">
        <f ca="1">IFERROR(__xludf.DUMMYFUNCTION("""COMPUTED_VALUE"""),1.74866500617794)</f>
        <v>1.7486650061779401</v>
      </c>
      <c r="H34" s="40">
        <f ca="1">IFERROR(__xludf.DUMMYFUNCTION("""COMPUTED_VALUE"""),33)</f>
        <v>33</v>
      </c>
    </row>
    <row r="35" spans="1:8" ht="13.2">
      <c r="A35" s="38" t="str">
        <f ca="1">IFERROR(__xludf.DUMMYFUNCTION("""COMPUTED_VALUE"""),"Galileo STEM Academy")</f>
        <v>Galileo STEM Academy</v>
      </c>
      <c r="B35" s="39" t="str">
        <f ca="1">IFERROR(__xludf.DUMMYFUNCTION("""COMPUTED_VALUE"""),"752")</f>
        <v>752</v>
      </c>
      <c r="C35" s="40">
        <f ca="1">IFERROR(__xludf.DUMMYFUNCTION("""COMPUTED_VALUE"""),0.17580061983471)</f>
        <v>0.17580061983470999</v>
      </c>
      <c r="D35" s="40">
        <f ca="1">IFERROR(__xludf.DUMMYFUNCTION("""COMPUTED_VALUE"""),0.297437647915528)</f>
        <v>0.29743764791552801</v>
      </c>
      <c r="E35" s="40">
        <f ca="1">IFERROR(__xludf.DUMMYFUNCTION("""COMPUTED_VALUE"""),0.333333333333333)</f>
        <v>0.33333333333333298</v>
      </c>
      <c r="F35" s="40">
        <f ca="1">IFERROR(__xludf.DUMMYFUNCTION("""COMPUTED_VALUE"""),0.94)</f>
        <v>0.94</v>
      </c>
      <c r="G35" s="40">
        <f ca="1">IFERROR(__xludf.DUMMYFUNCTION("""COMPUTED_VALUE"""),1.74657160108357)</f>
        <v>1.7465716010835699</v>
      </c>
      <c r="H35" s="40">
        <f ca="1">IFERROR(__xludf.DUMMYFUNCTION("""COMPUTED_VALUE"""),34)</f>
        <v>34</v>
      </c>
    </row>
    <row r="36" spans="1:8" ht="13.2">
      <c r="A36" s="38" t="str">
        <f ca="1">IFERROR(__xludf.DUMMYFUNCTION("""COMPUTED_VALUE"""),"TGM Allstars")</f>
        <v>TGM Allstars</v>
      </c>
      <c r="B36" s="39" t="str">
        <f ca="1">IFERROR(__xludf.DUMMYFUNCTION("""COMPUTED_VALUE"""),"617")</f>
        <v>617</v>
      </c>
      <c r="C36" s="40">
        <f ca="1">IFERROR(__xludf.DUMMYFUNCTION("""COMPUTED_VALUE"""),0.334984504132231)</f>
        <v>0.33498450413223102</v>
      </c>
      <c r="D36" s="40">
        <f ca="1">IFERROR(__xludf.DUMMYFUNCTION("""COMPUTED_VALUE"""),0.071956732811457)</f>
        <v>7.1956732811456994E-2</v>
      </c>
      <c r="E36" s="40">
        <f ca="1">IFERROR(__xludf.DUMMYFUNCTION("""COMPUTED_VALUE"""),0.408571428571428)</f>
        <v>0.40857142857142797</v>
      </c>
      <c r="F36" s="40">
        <f ca="1">IFERROR(__xludf.DUMMYFUNCTION("""COMPUTED_VALUE"""),0.92)</f>
        <v>0.92</v>
      </c>
      <c r="G36" s="40">
        <f ca="1">IFERROR(__xludf.DUMMYFUNCTION("""COMPUTED_VALUE"""),1.73551266551511)</f>
        <v>1.7355126655151101</v>
      </c>
      <c r="H36" s="40">
        <f ca="1">IFERROR(__xludf.DUMMYFUNCTION("""COMPUTED_VALUE"""),35)</f>
        <v>35</v>
      </c>
    </row>
    <row r="37" spans="1:8" ht="13.2">
      <c r="A37" s="38" t="str">
        <f ca="1">IFERROR(__xludf.DUMMYFUNCTION("""COMPUTED_VALUE"""),"Malden Catholic High School - John Wick")</f>
        <v>Malden Catholic High School - John Wick</v>
      </c>
      <c r="B37" s="39" t="str">
        <f ca="1">IFERROR(__xludf.DUMMYFUNCTION("""COMPUTED_VALUE"""),"770")</f>
        <v>770</v>
      </c>
      <c r="C37" s="40">
        <f ca="1">IFERROR(__xludf.DUMMYFUNCTION("""COMPUTED_VALUE"""),0.112474173553719)</f>
        <v>0.112474173553719</v>
      </c>
      <c r="D37" s="40">
        <f ca="1">IFERROR(__xludf.DUMMYFUNCTION("""COMPUTED_VALUE"""),0.156054675647794)</f>
        <v>0.15605467564779399</v>
      </c>
      <c r="E37" s="40">
        <f ca="1">IFERROR(__xludf.DUMMYFUNCTION("""COMPUTED_VALUE"""),0.482857142857142)</f>
        <v>0.48285714285714199</v>
      </c>
      <c r="F37" s="40">
        <f ca="1">IFERROR(__xludf.DUMMYFUNCTION("""COMPUTED_VALUE"""),0.96)</f>
        <v>0.96</v>
      </c>
      <c r="G37" s="40">
        <f ca="1">IFERROR(__xludf.DUMMYFUNCTION("""COMPUTED_VALUE"""),1.71138599205865)</f>
        <v>1.7113859920586501</v>
      </c>
      <c r="H37" s="40">
        <f ca="1">IFERROR(__xludf.DUMMYFUNCTION("""COMPUTED_VALUE"""),36)</f>
        <v>36</v>
      </c>
    </row>
    <row r="38" spans="1:8" ht="13.2">
      <c r="A38" s="38" t="str">
        <f ca="1">IFERROR(__xludf.DUMMYFUNCTION("""COMPUTED_VALUE"""),"Tucumcari")</f>
        <v>Tucumcari</v>
      </c>
      <c r="B38" s="39" t="str">
        <f ca="1">IFERROR(__xludf.DUMMYFUNCTION("""COMPUTED_VALUE"""),"804")</f>
        <v>804</v>
      </c>
      <c r="C38" s="40">
        <f ca="1">IFERROR(__xludf.DUMMYFUNCTION("""COMPUTED_VALUE"""),0.159927685950413)</f>
        <v>0.15992768595041301</v>
      </c>
      <c r="D38" s="40">
        <f ca="1">IFERROR(__xludf.DUMMYFUNCTION("""COMPUTED_VALUE"""),0.184069118271739)</f>
        <v>0.184069118271739</v>
      </c>
      <c r="E38" s="40">
        <f ca="1">IFERROR(__xludf.DUMMYFUNCTION("""COMPUTED_VALUE"""),0.52)</f>
        <v>0.52</v>
      </c>
      <c r="F38" s="40">
        <f ca="1">IFERROR(__xludf.DUMMYFUNCTION("""COMPUTED_VALUE"""),0.78)</f>
        <v>0.78</v>
      </c>
      <c r="G38" s="40">
        <f ca="1">IFERROR(__xludf.DUMMYFUNCTION("""COMPUTED_VALUE"""),1.64399680422215)</f>
        <v>1.64399680422215</v>
      </c>
      <c r="H38" s="40">
        <f ca="1">IFERROR(__xludf.DUMMYFUNCTION("""COMPUTED_VALUE"""),37)</f>
        <v>37</v>
      </c>
    </row>
    <row r="39" spans="1:8" ht="13.2">
      <c r="A39" s="38" t="str">
        <f ca="1">IFERROR(__xludf.DUMMYFUNCTION("""COMPUTED_VALUE"""),"Great Mills High School")</f>
        <v>Great Mills High School</v>
      </c>
      <c r="B39" s="39" t="str">
        <f ca="1">IFERROR(__xludf.DUMMYFUNCTION("""COMPUTED_VALUE"""),"504")</f>
        <v>504</v>
      </c>
      <c r="C39" s="40">
        <f ca="1">IFERROR(__xludf.DUMMYFUNCTION("""COMPUTED_VALUE"""),0.032944214876033)</f>
        <v>3.2944214876033003E-2</v>
      </c>
      <c r="D39" s="40">
        <f ca="1">IFERROR(__xludf.DUMMYFUNCTION("""COMPUTED_VALUE"""),0.255133806663025)</f>
        <v>0.25513380666302499</v>
      </c>
      <c r="E39" s="40">
        <f ca="1">IFERROR(__xludf.DUMMYFUNCTION("""COMPUTED_VALUE"""),0.297142857142857)</f>
        <v>0.29714285714285699</v>
      </c>
      <c r="F39" s="40">
        <f ca="1">IFERROR(__xludf.DUMMYFUNCTION("""COMPUTED_VALUE"""),0.96)</f>
        <v>0.96</v>
      </c>
      <c r="G39" s="40">
        <f ca="1">IFERROR(__xludf.DUMMYFUNCTION("""COMPUTED_VALUE"""),1.54522087868191)</f>
        <v>1.5452208786819099</v>
      </c>
      <c r="H39" s="40">
        <f ca="1">IFERROR(__xludf.DUMMYFUNCTION("""COMPUTED_VALUE"""),38)</f>
        <v>38</v>
      </c>
    </row>
    <row r="40" spans="1:8" ht="13.2">
      <c r="A40" s="38" t="str">
        <f ca="1">IFERROR(__xludf.DUMMYFUNCTION("""COMPUTED_VALUE"""),"Jerome Middle School - Cosmic Rangers")</f>
        <v>Jerome Middle School - Cosmic Rangers</v>
      </c>
      <c r="B40" s="39" t="str">
        <f ca="1">IFERROR(__xludf.DUMMYFUNCTION("""COMPUTED_VALUE"""),"735")</f>
        <v>735</v>
      </c>
      <c r="C40" s="40">
        <f ca="1">IFERROR(__xludf.DUMMYFUNCTION("""COMPUTED_VALUE"""),0.222964876033057)</f>
        <v>0.22296487603305701</v>
      </c>
      <c r="D40" s="40">
        <f ca="1">IFERROR(__xludf.DUMMYFUNCTION("""COMPUTED_VALUE"""),0.212811760422355)</f>
        <v>0.212811760422355</v>
      </c>
      <c r="E40" s="40">
        <f ca="1">IFERROR(__xludf.DUMMYFUNCTION("""COMPUTED_VALUE"""),0.217777777777777)</f>
        <v>0.21777777777777699</v>
      </c>
      <c r="F40" s="40">
        <f ca="1">IFERROR(__xludf.DUMMYFUNCTION("""COMPUTED_VALUE"""),0.8)</f>
        <v>0.8</v>
      </c>
      <c r="G40" s="40">
        <f ca="1">IFERROR(__xludf.DUMMYFUNCTION("""COMPUTED_VALUE"""),1.45355441423319)</f>
        <v>1.45355441423319</v>
      </c>
      <c r="H40" s="40">
        <f ca="1">IFERROR(__xludf.DUMMYFUNCTION("""COMPUTED_VALUE"""),39)</f>
        <v>39</v>
      </c>
    </row>
    <row r="41" spans="1:8" ht="13.2">
      <c r="A41" s="38" t="str">
        <f ca="1">IFERROR(__xludf.DUMMYFUNCTION("""COMPUTED_VALUE"""),"Jerome High School")</f>
        <v>Jerome High School</v>
      </c>
      <c r="B41" s="39" t="str">
        <f ca="1">IFERROR(__xludf.DUMMYFUNCTION("""COMPUTED_VALUE"""),"889")</f>
        <v>889</v>
      </c>
      <c r="C41" s="40">
        <f ca="1">IFERROR(__xludf.DUMMYFUNCTION("""COMPUTED_VALUE"""),0.207298553719008)</f>
        <v>0.20729855371900799</v>
      </c>
      <c r="D41" s="40">
        <f ca="1">IFERROR(__xludf.DUMMYFUNCTION("""COMPUTED_VALUE"""),0.0998255355300685)</f>
        <v>9.9825535530068496E-2</v>
      </c>
      <c r="E41" s="40">
        <f ca="1">IFERROR(__xludf.DUMMYFUNCTION("""COMPUTED_VALUE"""),0.297142857142857)</f>
        <v>0.29714285714285699</v>
      </c>
      <c r="F41" s="40">
        <f ca="1">IFERROR(__xludf.DUMMYFUNCTION("""COMPUTED_VALUE"""),0.84)</f>
        <v>0.84</v>
      </c>
      <c r="G41" s="40">
        <f ca="1">IFERROR(__xludf.DUMMYFUNCTION("""COMPUTED_VALUE"""),1.44426694639193)</f>
        <v>1.44426694639193</v>
      </c>
      <c r="H41" s="40">
        <f ca="1">IFERROR(__xludf.DUMMYFUNCTION("""COMPUTED_VALUE"""),40)</f>
        <v>40</v>
      </c>
    </row>
    <row r="42" spans="1:8" ht="13.2">
      <c r="A42" s="38" t="str">
        <f ca="1">IFERROR(__xludf.DUMMYFUNCTION("""COMPUTED_VALUE"""),"Tucumcari")</f>
        <v>Tucumcari</v>
      </c>
      <c r="B42" s="39" t="str">
        <f ca="1">IFERROR(__xludf.DUMMYFUNCTION("""COMPUTED_VALUE"""),"806")</f>
        <v>806</v>
      </c>
      <c r="C42" s="40">
        <f ca="1">IFERROR(__xludf.DUMMYFUNCTION("""COMPUTED_VALUE"""),0.0968078512396694)</f>
        <v>9.6807851239669396E-2</v>
      </c>
      <c r="D42" s="40">
        <f ca="1">IFERROR(__xludf.DUMMYFUNCTION("""COMPUTED_VALUE"""),0.127949208083014)</f>
        <v>0.12794920808301399</v>
      </c>
      <c r="E42" s="40">
        <f ca="1">IFERROR(__xludf.DUMMYFUNCTION("""COMPUTED_VALUE"""),0.222857142857142)</f>
        <v>0.222857142857142</v>
      </c>
      <c r="F42" s="40">
        <f ca="1">IFERROR(__xludf.DUMMYFUNCTION("""COMPUTED_VALUE"""),0.91)</f>
        <v>0.91</v>
      </c>
      <c r="G42" s="40">
        <f ca="1">IFERROR(__xludf.DUMMYFUNCTION("""COMPUTED_VALUE"""),1.35761420217982)</f>
        <v>1.3576142021798201</v>
      </c>
      <c r="H42" s="40">
        <f ca="1">IFERROR(__xludf.DUMMYFUNCTION("""COMPUTED_VALUE"""),41)</f>
        <v>41</v>
      </c>
    </row>
    <row r="43" spans="1:8" ht="13.2">
      <c r="A43" s="38" t="str">
        <f ca="1">IFERROR(__xludf.DUMMYFUNCTION("""COMPUTED_VALUE"""),"Bald Eagle Area School District")</f>
        <v>Bald Eagle Area School District</v>
      </c>
      <c r="B43" s="39" t="str">
        <f ca="1">IFERROR(__xludf.DUMMYFUNCTION("""COMPUTED_VALUE"""),"86")</f>
        <v>86</v>
      </c>
      <c r="C43" s="40">
        <f ca="1">IFERROR(__xludf.DUMMYFUNCTION("""COMPUTED_VALUE"""),0.0172365702479338)</f>
        <v>1.7236570247933802E-2</v>
      </c>
      <c r="D43" s="40">
        <f ca="1">IFERROR(__xludf.DUMMYFUNCTION("""COMPUTED_VALUE"""),0.0859184416530129)</f>
        <v>8.5918441653012906E-2</v>
      </c>
      <c r="E43" s="40">
        <f ca="1">IFERROR(__xludf.DUMMYFUNCTION("""COMPUTED_VALUE"""),0.371428571428571)</f>
        <v>0.371428571428571</v>
      </c>
      <c r="F43" s="40">
        <f ca="1">IFERROR(__xludf.DUMMYFUNCTION("""COMPUTED_VALUE"""),0.84)</f>
        <v>0.84</v>
      </c>
      <c r="G43" s="40">
        <f ca="1">IFERROR(__xludf.DUMMYFUNCTION("""COMPUTED_VALUE"""),1.31458358332951)</f>
        <v>1.3145835833295101</v>
      </c>
      <c r="H43" s="40">
        <f ca="1">IFERROR(__xludf.DUMMYFUNCTION("""COMPUTED_VALUE"""),42)</f>
        <v>42</v>
      </c>
    </row>
    <row r="44" spans="1:8" ht="13.2">
      <c r="A44" s="38" t="str">
        <f ca="1">IFERROR(__xludf.DUMMYFUNCTION("""COMPUTED_VALUE"""),"Tucumcari")</f>
        <v>Tucumcari</v>
      </c>
      <c r="B44" s="39" t="str">
        <f ca="1">IFERROR(__xludf.DUMMYFUNCTION("""COMPUTED_VALUE"""),"803")</f>
        <v>803</v>
      </c>
      <c r="C44" s="40">
        <f ca="1">IFERROR(__xludf.DUMMYFUNCTION("""COMPUTED_VALUE"""),0.318698347107438)</f>
        <v>0.318698347107438</v>
      </c>
      <c r="D44" s="40">
        <f ca="1">IFERROR(__xludf.DUMMYFUNCTION("""COMPUTED_VALUE"""),0.0431776806845075)</f>
        <v>4.3177680684507502E-2</v>
      </c>
      <c r="E44" s="40">
        <f ca="1">IFERROR(__xludf.DUMMYFUNCTION("""COMPUTED_VALUE"""),0.371428571428571)</f>
        <v>0.371428571428571</v>
      </c>
      <c r="F44" s="40">
        <f ca="1">IFERROR(__xludf.DUMMYFUNCTION("""COMPUTED_VALUE"""),0.56)</f>
        <v>0.56000000000000005</v>
      </c>
      <c r="G44" s="40">
        <f ca="1">IFERROR(__xludf.DUMMYFUNCTION("""COMPUTED_VALUE"""),1.29330459922051)</f>
        <v>1.2933045992205101</v>
      </c>
      <c r="H44" s="40">
        <f ca="1">IFERROR(__xludf.DUMMYFUNCTION("""COMPUTED_VALUE"""),43)</f>
        <v>43</v>
      </c>
    </row>
    <row r="45" spans="1:8" ht="13.2">
      <c r="A45" s="38" t="str">
        <f ca="1">IFERROR(__xludf.DUMMYFUNCTION("""COMPUTED_VALUE"""),"Curtis Inge Middle School")</f>
        <v>Curtis Inge Middle School</v>
      </c>
      <c r="B45" s="39" t="str">
        <f ca="1">IFERROR(__xludf.DUMMYFUNCTION("""COMPUTED_VALUE"""),"711")</f>
        <v>711</v>
      </c>
      <c r="C45" s="40">
        <f ca="1">IFERROR(__xludf.DUMMYFUNCTION("""COMPUTED_VALUE"""),0.0651033057851239)</f>
        <v>6.5103305785123897E-2</v>
      </c>
      <c r="D45" s="40">
        <f ca="1">IFERROR(__xludf.DUMMYFUNCTION("""COMPUTED_VALUE"""),0.241008252927968)</f>
        <v>0.24100825292796799</v>
      </c>
      <c r="E45" s="40">
        <f ca="1">IFERROR(__xludf.DUMMYFUNCTION("""COMPUTED_VALUE"""),0.222857142857142)</f>
        <v>0.222857142857142</v>
      </c>
      <c r="F45" s="40">
        <f ca="1">IFERROR(__xludf.DUMMYFUNCTION("""COMPUTED_VALUE"""),0.76)</f>
        <v>0.76</v>
      </c>
      <c r="G45" s="40">
        <f ca="1">IFERROR(__xludf.DUMMYFUNCTION("""COMPUTED_VALUE"""),1.28896870157023)</f>
        <v>1.28896870157023</v>
      </c>
      <c r="H45" s="40">
        <f ca="1">IFERROR(__xludf.DUMMYFUNCTION("""COMPUTED_VALUE"""),44)</f>
        <v>44</v>
      </c>
    </row>
    <row r="46" spans="1:8" ht="13.2">
      <c r="A46" s="38" t="str">
        <f ca="1">IFERROR(__xludf.DUMMYFUNCTION("""COMPUTED_VALUE"""),"Australia Team")</f>
        <v>Australia Team</v>
      </c>
      <c r="B46" s="39" t="str">
        <f ca="1">IFERROR(__xludf.DUMMYFUNCTION("""COMPUTED_VALUE"""),"921")</f>
        <v>921</v>
      </c>
      <c r="C46" s="40">
        <f ca="1">IFERROR(__xludf.DUMMYFUNCTION("""COMPUTED_VALUE"""),0.0807696280991735)</f>
        <v>8.0769628099173499E-2</v>
      </c>
      <c r="D46" s="40">
        <f ca="1">IFERROR(__xludf.DUMMYFUNCTION("""COMPUTED_VALUE"""),0.057922204017234)</f>
        <v>5.7922204017233997E-2</v>
      </c>
      <c r="E46" s="40">
        <f ca="1">IFERROR(__xludf.DUMMYFUNCTION("""COMPUTED_VALUE"""),0.222857142857142)</f>
        <v>0.222857142857142</v>
      </c>
      <c r="F46" s="40">
        <f ca="1">IFERROR(__xludf.DUMMYFUNCTION("""COMPUTED_VALUE"""),0.89)</f>
        <v>0.89</v>
      </c>
      <c r="G46" s="40">
        <f ca="1">IFERROR(__xludf.DUMMYFUNCTION("""COMPUTED_VALUE"""),1.25154897497355)</f>
        <v>1.25154897497355</v>
      </c>
      <c r="H46" s="40">
        <f ca="1">IFERROR(__xludf.DUMMYFUNCTION("""COMPUTED_VALUE"""),45)</f>
        <v>45</v>
      </c>
    </row>
    <row r="47" spans="1:8" ht="13.2">
      <c r="A47" s="38" t="str">
        <f ca="1">IFERROR(__xludf.DUMMYFUNCTION("""COMPUTED_VALUE"""),"Buffalo Valley Public Schools")</f>
        <v>Buffalo Valley Public Schools</v>
      </c>
      <c r="B47" s="39" t="str">
        <f ca="1">IFERROR(__xludf.DUMMYFUNCTION("""COMPUTED_VALUE"""),"866")</f>
        <v>866</v>
      </c>
      <c r="C47" s="40">
        <f ca="1">IFERROR(__xludf.DUMMYFUNCTION("""COMPUTED_VALUE"""),0.0493956611570247)</f>
        <v>4.9395661157024699E-2</v>
      </c>
      <c r="D47" s="40">
        <f ca="1">IFERROR(__xludf.DUMMYFUNCTION("""COMPUTED_VALUE"""),0.0292523818192851)</f>
        <v>2.9252381819285099E-2</v>
      </c>
      <c r="E47" s="40">
        <f ca="1">IFERROR(__xludf.DUMMYFUNCTION("""COMPUTED_VALUE"""),0.0742857142857142)</f>
        <v>7.4285714285714205E-2</v>
      </c>
      <c r="F47" s="40">
        <f ca="1">IFERROR(__xludf.DUMMYFUNCTION("""COMPUTED_VALUE"""),0.77)</f>
        <v>0.77</v>
      </c>
      <c r="G47" s="40">
        <f ca="1">IFERROR(__xludf.DUMMYFUNCTION("""COMPUTED_VALUE"""),0.922933757262024)</f>
        <v>0.92293375726202398</v>
      </c>
      <c r="H47" s="40">
        <f ca="1">IFERROR(__xludf.DUMMYFUNCTION("""COMPUTED_VALUE"""),46)</f>
        <v>46</v>
      </c>
    </row>
    <row r="48" spans="1:8" ht="13.2">
      <c r="A48" s="38" t="str">
        <f ca="1">IFERROR(__xludf.DUMMYFUNCTION("""COMPUTED_VALUE"""),"Olive Tree International Academy")</f>
        <v>Olive Tree International Academy</v>
      </c>
      <c r="B48" s="39" t="str">
        <f ca="1">IFERROR(__xludf.DUMMYFUNCTION("""COMPUTED_VALUE"""),"661")</f>
        <v>661</v>
      </c>
      <c r="C48" s="40">
        <f ca="1">IFERROR(__xludf.DUMMYFUNCTION("""COMPUTED_VALUE"""),0.19146694214876)</f>
        <v>0.19146694214876001</v>
      </c>
      <c r="D48" s="40">
        <f ca="1">IFERROR(__xludf.DUMMYFUNCTION("""COMPUTED_VALUE"""),0.142129376782571)</f>
        <v>0.14212937678257101</v>
      </c>
      <c r="E48" s="40">
        <f ca="1">IFERROR(__xludf.DUMMYFUNCTION("""COMPUTED_VALUE"""),0.0742857142857142)</f>
        <v>7.4285714285714205E-2</v>
      </c>
      <c r="F48" s="40">
        <f ca="1">IFERROR(__xludf.DUMMYFUNCTION("""COMPUTED_VALUE"""),0.47)</f>
        <v>0.47</v>
      </c>
      <c r="G48" s="40">
        <f ca="1">IFERROR(__xludf.DUMMYFUNCTION("""COMPUTED_VALUE"""),0.877882033217046)</f>
        <v>0.87788203321704605</v>
      </c>
      <c r="H48" s="40">
        <f ca="1">IFERROR(__xludf.DUMMYFUNCTION("""COMPUTED_VALUE"""),47)</f>
        <v>47</v>
      </c>
    </row>
    <row r="49" spans="1:8" ht="13.2">
      <c r="A49" s="38" t="str">
        <f ca="1">IFERROR(__xludf.DUMMYFUNCTION("""COMPUTED_VALUE"""),"Millwood Arts Academy")</f>
        <v>Millwood Arts Academy</v>
      </c>
      <c r="B49" s="39" t="str">
        <f ca="1">IFERROR(__xludf.DUMMYFUNCTION("""COMPUTED_VALUE"""),"59")</f>
        <v>59</v>
      </c>
      <c r="C49" s="40">
        <f ca="1">IFERROR(__xludf.DUMMYFUNCTION("""COMPUTED_VALUE"""),0.128223140495867)</f>
        <v>0.128223140495867</v>
      </c>
      <c r="D49" s="40">
        <f ca="1">IFERROR(__xludf.DUMMYFUNCTION("""COMPUTED_VALUE"""),0.0152542630013957)</f>
        <v>1.52542630013957E-2</v>
      </c>
      <c r="E49" s="40">
        <f ca="1">IFERROR(__xludf.DUMMYFUNCTION("""COMPUTED_VALUE"""),0.222857142857142)</f>
        <v>0.222857142857142</v>
      </c>
      <c r="F49" s="40">
        <f ca="1">IFERROR(__xludf.DUMMYFUNCTION("""COMPUTED_VALUE"""),0.25)</f>
        <v>0.25</v>
      </c>
      <c r="G49" s="40">
        <f ca="1">IFERROR(__xludf.DUMMYFUNCTION("""COMPUTED_VALUE"""),0.616334546354406)</f>
        <v>0.61633454635440599</v>
      </c>
      <c r="H49" s="40">
        <f ca="1">IFERROR(__xludf.DUMMYFUNCTION("""COMPUTED_VALUE"""),48)</f>
        <v>48</v>
      </c>
    </row>
  </sheetData>
  <pageMargins left="0.25" right="0.25" top="0.75" bottom="0.75" header="0.3" footer="0.3"/>
  <pageSetup orientation="landscape" r:id="rId1"/>
  <ignoredErrors>
    <ignoredError sqref="F5 G2 E15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3C47D"/>
    <outlinePr summaryBelow="0" summaryRight="0"/>
  </sheetPr>
  <dimension ref="A1:D90"/>
  <sheetViews>
    <sheetView workbookViewId="0"/>
  </sheetViews>
  <sheetFormatPr defaultColWidth="12.6640625" defaultRowHeight="15.75" customHeight="1"/>
  <cols>
    <col min="1" max="1" width="45.77734375" customWidth="1"/>
    <col min="2" max="2" width="59.6640625" customWidth="1"/>
    <col min="3" max="3" width="14.21875" customWidth="1"/>
    <col min="4" max="4" width="12.109375" customWidth="1"/>
  </cols>
  <sheetData>
    <row r="1" spans="1:4" ht="15.75" customHeight="1">
      <c r="A1" s="5" t="str">
        <f ca="1">IFERROR(__xludf.DUMMYFUNCTION("IMPORTRANGE(""https://docs.google.com/spreadsheets/d/11rZfuCcnWwx4mypRymG7SP3aoV-_A_PQ83tyDxi-OiQ/edit?gid=429554883#gid=429554883"", ""Final Awards!A1:D85"")"),"Award")</f>
        <v>Award</v>
      </c>
      <c r="B1" s="5" t="str">
        <f ca="1">IFERROR(__xludf.DUMMYFUNCTION("""COMPUTED_VALUE"""),"Team Name")</f>
        <v>Team Name</v>
      </c>
      <c r="C1" s="6" t="str">
        <f ca="1">IFERROR(__xludf.DUMMYFUNCTION("""COMPUTED_VALUE"""),"Team Number")</f>
        <v>Team Number</v>
      </c>
      <c r="D1" s="6" t="str">
        <f ca="1">IFERROR(__xludf.DUMMYFUNCTION("""COMPUTED_VALUE"""),"Award Type")</f>
        <v>Award Type</v>
      </c>
    </row>
    <row r="2" spans="1:4" ht="15.75" customHeight="1">
      <c r="A2" s="7" t="str">
        <f ca="1">IFERROR(__xludf.DUMMYFUNCTION("""COMPUTED_VALUE"""),"Overall")</f>
        <v>Overall</v>
      </c>
      <c r="B2" s="8"/>
      <c r="C2" s="8"/>
      <c r="D2" s="8"/>
    </row>
    <row r="3" spans="1:4">
      <c r="A3" s="8" t="str">
        <f ca="1">IFERROR(__xludf.DUMMYFUNCTION("""COMPUTED_VALUE"""),"1st Overall")</f>
        <v>1st Overall</v>
      </c>
      <c r="B3" s="9" t="str">
        <f ca="1">IFERROR(__xludf.DUMMYFUNCTION("""COMPUTED_VALUE"""),"HTL Wiener Neustadt")</f>
        <v>HTL Wiener Neustadt</v>
      </c>
      <c r="C3" s="9" t="str">
        <f ca="1">IFERROR(__xludf.DUMMYFUNCTION("""COMPUTED_VALUE"""),"606")</f>
        <v>606</v>
      </c>
      <c r="D3" s="8"/>
    </row>
    <row r="4" spans="1:4">
      <c r="A4" s="8" t="str">
        <f ca="1">IFERROR(__xludf.DUMMYFUNCTION("""COMPUTED_VALUE"""),"2nd Overall")</f>
        <v>2nd Overall</v>
      </c>
      <c r="B4" s="9" t="str">
        <f ca="1">IFERROR(__xludf.DUMMYFUNCTION("""COMPUTED_VALUE"""),"Los Altos Community Team")</f>
        <v>Los Altos Community Team</v>
      </c>
      <c r="C4" s="9" t="str">
        <f ca="1">IFERROR(__xludf.DUMMYFUNCTION("""COMPUTED_VALUE"""),"399")</f>
        <v>399</v>
      </c>
      <c r="D4" s="8"/>
    </row>
    <row r="5" spans="1:4">
      <c r="A5" s="8" t="str">
        <f ca="1">IFERROR(__xludf.DUMMYFUNCTION("""COMPUTED_VALUE"""),"3rd Overall")</f>
        <v>3rd Overall</v>
      </c>
      <c r="B5" s="9" t="str">
        <f ca="1">IFERROR(__xludf.DUMMYFUNCTION("""COMPUTED_VALUE"""),"HTL Wiener Neustadt")</f>
        <v>HTL Wiener Neustadt</v>
      </c>
      <c r="C5" s="9" t="str">
        <f ca="1">IFERROR(__xludf.DUMMYFUNCTION("""COMPUTED_VALUE"""),"188")</f>
        <v>188</v>
      </c>
      <c r="D5" s="8"/>
    </row>
    <row r="6" spans="1:4">
      <c r="A6" s="8" t="str">
        <f ca="1">IFERROR(__xludf.DUMMYFUNCTION("""COMPUTED_VALUE"""),"4th Overall")</f>
        <v>4th Overall</v>
      </c>
      <c r="B6" s="9" t="str">
        <f ca="1">IFERROR(__xludf.DUMMYFUNCTION("""COMPUTED_VALUE"""),"HTL St. Pölten")</f>
        <v>HTL St. Pölten</v>
      </c>
      <c r="C6" s="9" t="str">
        <f ca="1">IFERROR(__xludf.DUMMYFUNCTION("""COMPUTED_VALUE"""),"635")</f>
        <v>635</v>
      </c>
      <c r="D6" s="8"/>
    </row>
    <row r="7" spans="1:4">
      <c r="A7" s="8" t="str">
        <f ca="1">IFERROR(__xludf.DUMMYFUNCTION("""COMPUTED_VALUE"""),"5th Overall")</f>
        <v>5th Overall</v>
      </c>
      <c r="B7" s="9" t="str">
        <f ca="1">IFERROR(__xludf.DUMMYFUNCTION("""COMPUTED_VALUE"""),"Los Altos Community Team")</f>
        <v>Los Altos Community Team</v>
      </c>
      <c r="C7" s="9" t="str">
        <f ca="1">IFERROR(__xludf.DUMMYFUNCTION("""COMPUTED_VALUE"""),"453")</f>
        <v>453</v>
      </c>
      <c r="D7" s="8"/>
    </row>
    <row r="8" spans="1:4">
      <c r="A8" s="8" t="str">
        <f ca="1">IFERROR(__xludf.DUMMYFUNCTION("""COMPUTED_VALUE"""),"6th Overall")</f>
        <v>6th Overall</v>
      </c>
      <c r="B8" s="9" t="str">
        <f ca="1">IFERROR(__xludf.DUMMYFUNCTION("""COMPUTED_VALUE"""),"Beanstalk International Bilingual School-Titan")</f>
        <v>Beanstalk International Bilingual School-Titan</v>
      </c>
      <c r="C8" s="9" t="str">
        <f ca="1">IFERROR(__xludf.DUMMYFUNCTION("""COMPUTED_VALUE"""),"663")</f>
        <v>663</v>
      </c>
      <c r="D8" s="8"/>
    </row>
    <row r="9" spans="1:4">
      <c r="A9" s="8"/>
      <c r="B9" s="8"/>
      <c r="C9" s="8"/>
      <c r="D9" s="8"/>
    </row>
    <row r="10" spans="1:4" ht="15.75" customHeight="1">
      <c r="A10" s="7" t="str">
        <f ca="1">IFERROR(__xludf.DUMMYFUNCTION("""COMPUTED_VALUE"""),"Combined Seeding")</f>
        <v>Combined Seeding</v>
      </c>
      <c r="B10" s="8"/>
      <c r="C10" s="8"/>
      <c r="D10" s="8"/>
    </row>
    <row r="11" spans="1:4">
      <c r="A11" s="8" t="str">
        <f ca="1">IFERROR(__xludf.DUMMYFUNCTION("""COMPUTED_VALUE"""),"1st Seeding")</f>
        <v>1st Seeding</v>
      </c>
      <c r="B11" s="8" t="str">
        <f ca="1">IFERROR(__xludf.DUMMYFUNCTION("""COMPUTED_VALUE"""),"HTL Wiener Neustadt")</f>
        <v>HTL Wiener Neustadt</v>
      </c>
      <c r="C11" s="9" t="str">
        <f ca="1">IFERROR(__xludf.DUMMYFUNCTION("""COMPUTED_VALUE"""),"606")</f>
        <v>606</v>
      </c>
      <c r="D11" s="8"/>
    </row>
    <row r="12" spans="1:4">
      <c r="A12" s="8" t="str">
        <f ca="1">IFERROR(__xludf.DUMMYFUNCTION("""COMPUTED_VALUE"""),"2nd Seeding")</f>
        <v>2nd Seeding</v>
      </c>
      <c r="B12" s="9" t="str">
        <f ca="1">IFERROR(__xludf.DUMMYFUNCTION("""COMPUTED_VALUE"""),"Los Altos Community Team")</f>
        <v>Los Altos Community Team</v>
      </c>
      <c r="C12" s="9" t="str">
        <f ca="1">IFERROR(__xludf.DUMMYFUNCTION("""COMPUTED_VALUE"""),"399")</f>
        <v>399</v>
      </c>
      <c r="D12" s="8"/>
    </row>
    <row r="13" spans="1:4">
      <c r="A13" s="8" t="str">
        <f ca="1">IFERROR(__xludf.DUMMYFUNCTION("""COMPUTED_VALUE"""),"3rd Seeding")</f>
        <v>3rd Seeding</v>
      </c>
      <c r="B13" s="9" t="str">
        <f ca="1">IFERROR(__xludf.DUMMYFUNCTION("""COMPUTED_VALUE"""),"HTL Wiener Neustadt")</f>
        <v>HTL Wiener Neustadt</v>
      </c>
      <c r="C13" s="9" t="str">
        <f ca="1">IFERROR(__xludf.DUMMYFUNCTION("""COMPUTED_VALUE"""),"188")</f>
        <v>188</v>
      </c>
      <c r="D13" s="8"/>
    </row>
    <row r="14" spans="1:4">
      <c r="A14" s="8" t="str">
        <f ca="1">IFERROR(__xludf.DUMMYFUNCTION("""COMPUTED_VALUE"""),"4th Seeding")</f>
        <v>4th Seeding</v>
      </c>
      <c r="B14" s="9" t="str">
        <f ca="1">IFERROR(__xludf.DUMMYFUNCTION("""COMPUTED_VALUE"""),"Los Altos Community Team")</f>
        <v>Los Altos Community Team</v>
      </c>
      <c r="C14" s="9" t="str">
        <f ca="1">IFERROR(__xludf.DUMMYFUNCTION("""COMPUTED_VALUE"""),"453")</f>
        <v>453</v>
      </c>
      <c r="D14" s="8"/>
    </row>
    <row r="15" spans="1:4">
      <c r="A15" s="8"/>
      <c r="B15" s="8"/>
      <c r="C15" s="8"/>
      <c r="D15" s="8"/>
    </row>
    <row r="16" spans="1:4" ht="15.75" customHeight="1">
      <c r="A16" s="7" t="str">
        <f ca="1">IFERROR(__xludf.DUMMYFUNCTION("""COMPUTED_VALUE"""),"Artemis Bracket")</f>
        <v>Artemis Bracket</v>
      </c>
      <c r="B16" s="8"/>
      <c r="C16" s="8"/>
      <c r="D16" s="8"/>
    </row>
    <row r="17" spans="1:4">
      <c r="A17" s="8" t="str">
        <f ca="1">IFERROR(__xludf.DUMMYFUNCTION("""COMPUTED_VALUE"""),"1st DE")</f>
        <v>1st DE</v>
      </c>
      <c r="B17" s="9" t="str">
        <f ca="1">IFERROR(__xludf.DUMMYFUNCTION("""COMPUTED_VALUE"""),"Los Altos Community Team")</f>
        <v>Los Altos Community Team</v>
      </c>
      <c r="C17" s="9" t="str">
        <f ca="1">IFERROR(__xludf.DUMMYFUNCTION("""COMPUTED_VALUE"""),"399")</f>
        <v>399</v>
      </c>
      <c r="D17" s="8"/>
    </row>
    <row r="18" spans="1:4">
      <c r="A18" s="8" t="str">
        <f ca="1">IFERROR(__xludf.DUMMYFUNCTION("""COMPUTED_VALUE"""),"2nd DE")</f>
        <v>2nd DE</v>
      </c>
      <c r="B18" s="9" t="str">
        <f ca="1">IFERROR(__xludf.DUMMYFUNCTION("""COMPUTED_VALUE"""),"HTL Wiener Neustadt")</f>
        <v>HTL Wiener Neustadt</v>
      </c>
      <c r="C18" s="9" t="str">
        <f ca="1">IFERROR(__xludf.DUMMYFUNCTION("""COMPUTED_VALUE"""),"606")</f>
        <v>606</v>
      </c>
      <c r="D18" s="8"/>
    </row>
    <row r="19" spans="1:4">
      <c r="A19" s="8" t="str">
        <f ca="1">IFERROR(__xludf.DUMMYFUNCTION("""COMPUTED_VALUE"""),"3rd DE")</f>
        <v>3rd DE</v>
      </c>
      <c r="B19" s="9" t="str">
        <f ca="1">IFERROR(__xludf.DUMMYFUNCTION("""COMPUTED_VALUE"""),"HTL Wiener Neustadt")</f>
        <v>HTL Wiener Neustadt</v>
      </c>
      <c r="C19" s="9" t="str">
        <f ca="1">IFERROR(__xludf.DUMMYFUNCTION("""COMPUTED_VALUE"""),"188")</f>
        <v>188</v>
      </c>
      <c r="D19" s="8"/>
    </row>
    <row r="20" spans="1:4">
      <c r="A20" s="8" t="str">
        <f ca="1">IFERROR(__xludf.DUMMYFUNCTION("""COMPUTED_VALUE"""),"4th DE")</f>
        <v>4th DE</v>
      </c>
      <c r="B20" s="9" t="str">
        <f ca="1">IFERROR(__xludf.DUMMYFUNCTION("""COMPUTED_VALUE"""),"HTL St. Pölten")</f>
        <v>HTL St. Pölten</v>
      </c>
      <c r="C20" s="9" t="str">
        <f ca="1">IFERROR(__xludf.DUMMYFUNCTION("""COMPUTED_VALUE"""),"635")</f>
        <v>635</v>
      </c>
      <c r="D20" s="8"/>
    </row>
    <row r="21" spans="1:4">
      <c r="A21" s="8"/>
      <c r="B21" s="8"/>
      <c r="C21" s="8"/>
      <c r="D21" s="8"/>
    </row>
    <row r="22" spans="1:4" ht="15.75" customHeight="1">
      <c r="A22" s="7" t="str">
        <f ca="1">IFERROR(__xludf.DUMMYFUNCTION("""COMPUTED_VALUE"""),"Apollo Bracket")</f>
        <v>Apollo Bracket</v>
      </c>
      <c r="B22" s="8"/>
      <c r="C22" s="8"/>
      <c r="D22" s="8"/>
    </row>
    <row r="23" spans="1:4" ht="15">
      <c r="A23" s="8" t="str">
        <f ca="1">IFERROR(__xludf.DUMMYFUNCTION("""COMPUTED_VALUE"""),"1st DE")</f>
        <v>1st DE</v>
      </c>
      <c r="B23" s="9" t="str">
        <f ca="1">IFERROR(__xludf.DUMMYFUNCTION("""COMPUTED_VALUE"""),"Radiant Robotics - Arcadia")</f>
        <v>Radiant Robotics - Arcadia</v>
      </c>
      <c r="C23" s="9" t="str">
        <f ca="1">IFERROR(__xludf.DUMMYFUNCTION("""COMPUTED_VALUE"""),"813")</f>
        <v>813</v>
      </c>
      <c r="D23" s="8"/>
    </row>
    <row r="24" spans="1:4" ht="15">
      <c r="A24" s="8" t="str">
        <f ca="1">IFERROR(__xludf.DUMMYFUNCTION("""COMPUTED_VALUE"""),"2nd DE")</f>
        <v>2nd DE</v>
      </c>
      <c r="B24" s="9" t="str">
        <f ca="1">IFERROR(__xludf.DUMMYFUNCTION("""COMPUTED_VALUE"""),"Noble High School")</f>
        <v>Noble High School</v>
      </c>
      <c r="C24" s="9" t="str">
        <f ca="1">IFERROR(__xludf.DUMMYFUNCTION("""COMPUTED_VALUE"""),"720")</f>
        <v>720</v>
      </c>
      <c r="D24" s="8"/>
    </row>
    <row r="25" spans="1:4" ht="15">
      <c r="A25" s="8" t="str">
        <f ca="1">IFERROR(__xludf.DUMMYFUNCTION("""COMPUTED_VALUE"""),"3rd DE")</f>
        <v>3rd DE</v>
      </c>
      <c r="B25" s="9" t="str">
        <f ca="1">IFERROR(__xludf.DUMMYFUNCTION("""COMPUTED_VALUE"""),"Beanstalk International Bilingual School-Unicorn")</f>
        <v>Beanstalk International Bilingual School-Unicorn</v>
      </c>
      <c r="C25" s="9" t="str">
        <f ca="1">IFERROR(__xludf.DUMMYFUNCTION("""COMPUTED_VALUE"""),"662")</f>
        <v>662</v>
      </c>
      <c r="D25" s="8"/>
    </row>
    <row r="26" spans="1:4" ht="15">
      <c r="A26" s="8" t="str">
        <f ca="1">IFERROR(__xludf.DUMMYFUNCTION("""COMPUTED_VALUE"""),"4th DE")</f>
        <v>4th DE</v>
      </c>
      <c r="B26" s="9" t="str">
        <f ca="1">IFERROR(__xludf.DUMMYFUNCTION("""COMPUTED_VALUE"""),"Colonial Botball")</f>
        <v>Colonial Botball</v>
      </c>
      <c r="C26" s="9" t="str">
        <f ca="1">IFERROR(__xludf.DUMMYFUNCTION("""COMPUTED_VALUE"""),"141")</f>
        <v>141</v>
      </c>
      <c r="D26" s="8"/>
    </row>
    <row r="27" spans="1:4" ht="15">
      <c r="A27" s="8"/>
      <c r="B27" s="8"/>
      <c r="C27" s="8"/>
      <c r="D27" s="8"/>
    </row>
    <row r="28" spans="1:4" ht="15.6">
      <c r="A28" s="7" t="str">
        <f ca="1">IFERROR(__xludf.DUMMYFUNCTION("""COMPUTED_VALUE"""),"Surveyor Bracket")</f>
        <v>Surveyor Bracket</v>
      </c>
      <c r="B28" s="8"/>
      <c r="C28" s="8"/>
      <c r="D28" s="8"/>
    </row>
    <row r="29" spans="1:4" ht="15">
      <c r="A29" s="8" t="str">
        <f ca="1">IFERROR(__xludf.DUMMYFUNCTION("""COMPUTED_VALUE"""),"1st DE")</f>
        <v>1st DE</v>
      </c>
      <c r="B29" s="9" t="str">
        <f ca="1">IFERROR(__xludf.DUMMYFUNCTION("""COMPUTED_VALUE"""),"Rhoades")</f>
        <v>Rhoades</v>
      </c>
      <c r="C29" s="9" t="str">
        <f ca="1">IFERROR(__xludf.DUMMYFUNCTION("""COMPUTED_VALUE"""),"340")</f>
        <v>340</v>
      </c>
      <c r="D29" s="8"/>
    </row>
    <row r="30" spans="1:4" ht="15">
      <c r="A30" s="8" t="str">
        <f ca="1">IFERROR(__xludf.DUMMYFUNCTION("""COMPUTED_VALUE"""),"2nd DE")</f>
        <v>2nd DE</v>
      </c>
      <c r="B30" s="9" t="str">
        <f ca="1">IFERROR(__xludf.DUMMYFUNCTION("""COMPUTED_VALUE"""),"Norman Advanced Robotics")</f>
        <v>Norman Advanced Robotics</v>
      </c>
      <c r="C30" s="9" t="str">
        <f ca="1">IFERROR(__xludf.DUMMYFUNCTION("""COMPUTED_VALUE"""),"113")</f>
        <v>113</v>
      </c>
      <c r="D30" s="8"/>
    </row>
    <row r="31" spans="1:4" ht="15">
      <c r="A31" s="8" t="str">
        <f ca="1">IFERROR(__xludf.DUMMYFUNCTION("""COMPUTED_VALUE"""),"3rd DE")</f>
        <v>3rd DE</v>
      </c>
      <c r="B31" s="9" t="str">
        <f ca="1">IFERROR(__xludf.DUMMYFUNCTION("""COMPUTED_VALUE"""),"Jerome High School - Golden Girls")</f>
        <v>Jerome High School - Golden Girls</v>
      </c>
      <c r="C31" s="9" t="str">
        <f ca="1">IFERROR(__xludf.DUMMYFUNCTION("""COMPUTED_VALUE"""),"821")</f>
        <v>821</v>
      </c>
      <c r="D31" s="8"/>
    </row>
    <row r="32" spans="1:4" ht="15">
      <c r="A32" s="8" t="str">
        <f ca="1">IFERROR(__xludf.DUMMYFUNCTION("""COMPUTED_VALUE"""),"4th DE")</f>
        <v>4th DE</v>
      </c>
      <c r="B32" s="9" t="str">
        <f ca="1">IFERROR(__xludf.DUMMYFUNCTION("""COMPUTED_VALUE"""),"La Quinta High School")</f>
        <v>La Quinta High School</v>
      </c>
      <c r="C32" s="9" t="str">
        <f ca="1">IFERROR(__xludf.DUMMYFUNCTION("""COMPUTED_VALUE"""),"844")</f>
        <v>844</v>
      </c>
      <c r="D32" s="8"/>
    </row>
    <row r="33" spans="1:4" ht="15">
      <c r="A33" s="8"/>
      <c r="B33" s="8"/>
      <c r="C33" s="8"/>
      <c r="D33" s="8"/>
    </row>
    <row r="34" spans="1:4" ht="15.6">
      <c r="A34" s="7" t="str">
        <f ca="1">IFERROR(__xludf.DUMMYFUNCTION("""COMPUTED_VALUE"""),"Ranger Bracket")</f>
        <v>Ranger Bracket</v>
      </c>
      <c r="B34" s="8"/>
      <c r="C34" s="8"/>
      <c r="D34" s="8"/>
    </row>
    <row r="35" spans="1:4" ht="15">
      <c r="A35" s="8" t="str">
        <f ca="1">IFERROR(__xludf.DUMMYFUNCTION("""COMPUTED_VALUE"""),"1st DE")</f>
        <v>1st DE</v>
      </c>
      <c r="B35" s="9" t="str">
        <f ca="1">IFERROR(__xludf.DUMMYFUNCTION("""COMPUTED_VALUE"""),"Tucumcari")</f>
        <v>Tucumcari</v>
      </c>
      <c r="C35" s="9" t="str">
        <f ca="1">IFERROR(__xludf.DUMMYFUNCTION("""COMPUTED_VALUE"""),"804")</f>
        <v>804</v>
      </c>
      <c r="D35" s="8"/>
    </row>
    <row r="36" spans="1:4" ht="15">
      <c r="A36" s="8" t="str">
        <f ca="1">IFERROR(__xludf.DUMMYFUNCTION("""COMPUTED_VALUE"""),"2nd DE")</f>
        <v>2nd DE</v>
      </c>
      <c r="B36" s="9" t="str">
        <f ca="1">IFERROR(__xludf.DUMMYFUNCTION("""COMPUTED_VALUE"""),"Malden Catholic High School - John Wick")</f>
        <v>Malden Catholic High School - John Wick</v>
      </c>
      <c r="C36" s="9" t="str">
        <f ca="1">IFERROR(__xludf.DUMMYFUNCTION("""COMPUTED_VALUE"""),"770")</f>
        <v>770</v>
      </c>
      <c r="D36" s="8"/>
    </row>
    <row r="37" spans="1:4" ht="15">
      <c r="A37" s="8" t="str">
        <f ca="1">IFERROR(__xludf.DUMMYFUNCTION("""COMPUTED_VALUE"""),"3rd DE")</f>
        <v>3rd DE</v>
      </c>
      <c r="B37" s="9" t="str">
        <f ca="1">IFERROR(__xludf.DUMMYFUNCTION("""COMPUTED_VALUE"""),"Tucumcari")</f>
        <v>Tucumcari</v>
      </c>
      <c r="C37" s="9" t="str">
        <f ca="1">IFERROR(__xludf.DUMMYFUNCTION("""COMPUTED_VALUE"""),"310")</f>
        <v>310</v>
      </c>
      <c r="D37" s="8"/>
    </row>
    <row r="38" spans="1:4" ht="15">
      <c r="A38" s="8" t="str">
        <f ca="1">IFERROR(__xludf.DUMMYFUNCTION("""COMPUTED_VALUE"""),"4th DE")</f>
        <v>4th DE</v>
      </c>
      <c r="B38" s="9" t="str">
        <f ca="1">IFERROR(__xludf.DUMMYFUNCTION("""COMPUTED_VALUE"""),"TGM Allstars")</f>
        <v>TGM Allstars</v>
      </c>
      <c r="C38" s="9" t="str">
        <f ca="1">IFERROR(__xludf.DUMMYFUNCTION("""COMPUTED_VALUE"""),"617")</f>
        <v>617</v>
      </c>
      <c r="D38" s="8"/>
    </row>
    <row r="39" spans="1:4" ht="15">
      <c r="A39" s="8"/>
      <c r="B39" s="8"/>
      <c r="C39" s="8"/>
      <c r="D39" s="8"/>
    </row>
    <row r="40" spans="1:4" ht="15.6">
      <c r="A40" s="7" t="str">
        <f ca="1">IFERROR(__xludf.DUMMYFUNCTION("""COMPUTED_VALUE"""),"Trophies")</f>
        <v>Trophies</v>
      </c>
      <c r="B40" s="8"/>
      <c r="C40" s="8"/>
      <c r="D40" s="8"/>
    </row>
    <row r="41" spans="1:4" ht="15">
      <c r="A41" s="8" t="str">
        <f ca="1">IFERROR(__xludf.DUMMYFUNCTION("""COMPUTED_VALUE"""),"Outstanding Doc")</f>
        <v>Outstanding Doc</v>
      </c>
      <c r="B41" s="8" t="str">
        <f ca="1">IFERROR(__xludf.DUMMYFUNCTION("""COMPUTED_VALUE"""),"La Quinta High School")</f>
        <v>La Quinta High School</v>
      </c>
      <c r="C41" s="9" t="str">
        <f ca="1">IFERROR(__xludf.DUMMYFUNCTION("""COMPUTED_VALUE"""),"844")</f>
        <v>844</v>
      </c>
      <c r="D41" s="9" t="str">
        <f ca="1">IFERROR(__xludf.DUMMYFUNCTION("""COMPUTED_VALUE"""),"Trophy")</f>
        <v>Trophy</v>
      </c>
    </row>
    <row r="42" spans="1:4" ht="15">
      <c r="A42" s="8" t="str">
        <f ca="1">IFERROR(__xludf.DUMMYFUNCTION("""COMPUTED_VALUE"""),"KISS Award")</f>
        <v>KISS Award</v>
      </c>
      <c r="B42" s="9" t="str">
        <f ca="1">IFERROR(__xludf.DUMMYFUNCTION("""COMPUTED_VALUE"""),"Tucumcari")</f>
        <v>Tucumcari</v>
      </c>
      <c r="C42" s="9" t="str">
        <f ca="1">IFERROR(__xludf.DUMMYFUNCTION("""COMPUTED_VALUE"""),"804")</f>
        <v>804</v>
      </c>
      <c r="D42" s="9" t="str">
        <f ca="1">IFERROR(__xludf.DUMMYFUNCTION("""COMPUTED_VALUE"""),"Trophy")</f>
        <v>Trophy</v>
      </c>
    </row>
    <row r="43" spans="1:4" ht="15">
      <c r="A43" s="8" t="str">
        <f ca="1">IFERROR(__xludf.DUMMYFUNCTION("""COMPUTED_VALUE"""),"KISS Award")</f>
        <v>KISS Award</v>
      </c>
      <c r="B43" s="8" t="str">
        <f ca="1">IFERROR(__xludf.DUMMYFUNCTION("""COMPUTED_VALUE"""),"Jerome High School")</f>
        <v>Jerome High School</v>
      </c>
      <c r="C43" s="9" t="str">
        <f ca="1">IFERROR(__xludf.DUMMYFUNCTION("""COMPUTED_VALUE"""),"889")</f>
        <v>889</v>
      </c>
      <c r="D43" s="9" t="str">
        <f ca="1">IFERROR(__xludf.DUMMYFUNCTION("""COMPUTED_VALUE"""),"Trophy")</f>
        <v>Trophy</v>
      </c>
    </row>
    <row r="44" spans="1:4" ht="15">
      <c r="A44" s="8" t="str">
        <f ca="1">IFERROR(__xludf.DUMMYFUNCTION("""COMPUTED_VALUE"""),"Spirit of Botball")</f>
        <v>Spirit of Botball</v>
      </c>
      <c r="B44" s="8" t="str">
        <f ca="1">IFERROR(__xludf.DUMMYFUNCTION("""COMPUTED_VALUE"""),"Westchester Academy for International Studies")</f>
        <v>Westchester Academy for International Studies</v>
      </c>
      <c r="C44" s="9" t="str">
        <f ca="1">IFERROR(__xludf.DUMMYFUNCTION("""COMPUTED_VALUE"""),"840 &amp; 151")</f>
        <v>840 &amp; 151</v>
      </c>
      <c r="D44" s="9" t="str">
        <f ca="1">IFERROR(__xludf.DUMMYFUNCTION("""COMPUTED_VALUE"""),"Banner")</f>
        <v>Banner</v>
      </c>
    </row>
    <row r="45" spans="1:4" ht="15">
      <c r="A45" s="8" t="str">
        <f ca="1">IFERROR(__xludf.DUMMYFUNCTION("""COMPUTED_VALUE"""),"Spirit of Botball")</f>
        <v>Spirit of Botball</v>
      </c>
      <c r="B45" s="8" t="str">
        <f ca="1">IFERROR(__xludf.DUMMYFUNCTION("""COMPUTED_VALUE"""),"Norman Advanced Robotics")</f>
        <v>Norman Advanced Robotics</v>
      </c>
      <c r="C45" s="9" t="str">
        <f ca="1">IFERROR(__xludf.DUMMYFUNCTION("""COMPUTED_VALUE"""),"113")</f>
        <v>113</v>
      </c>
      <c r="D45" s="9" t="str">
        <f ca="1">IFERROR(__xludf.DUMMYFUNCTION("""COMPUTED_VALUE"""),"Banner")</f>
        <v>Banner</v>
      </c>
    </row>
    <row r="46" spans="1:4" ht="15">
      <c r="A46" s="8" t="str">
        <f ca="1">IFERROR(__xludf.DUMMYFUNCTION("""COMPUTED_VALUE"""),"Spirit of Botball")</f>
        <v>Spirit of Botball</v>
      </c>
      <c r="B46" s="8" t="str">
        <f ca="1">IFERROR(__xludf.DUMMYFUNCTION("""COMPUTED_VALUE"""),"Great Mills High School")</f>
        <v>Great Mills High School</v>
      </c>
      <c r="C46" s="9" t="str">
        <f ca="1">IFERROR(__xludf.DUMMYFUNCTION("""COMPUTED_VALUE"""),"504")</f>
        <v>504</v>
      </c>
      <c r="D46" s="9" t="str">
        <f ca="1">IFERROR(__xludf.DUMMYFUNCTION("""COMPUTED_VALUE"""),"Trophy")</f>
        <v>Trophy</v>
      </c>
    </row>
    <row r="47" spans="1:4" ht="15">
      <c r="A47" s="8" t="str">
        <f ca="1">IFERROR(__xludf.DUMMYFUNCTION("""COMPUTED_VALUE"""),"Spirit of Botball")</f>
        <v>Spirit of Botball</v>
      </c>
      <c r="B47" s="8" t="str">
        <f ca="1">IFERROR(__xludf.DUMMYFUNCTION("""COMPUTED_VALUE"""),"HTL Wien West")</f>
        <v>HTL Wien West</v>
      </c>
      <c r="C47" s="9" t="str">
        <f ca="1">IFERROR(__xludf.DUMMYFUNCTION("""COMPUTED_VALUE"""),"623")</f>
        <v>623</v>
      </c>
      <c r="D47" s="9" t="str">
        <f ca="1">IFERROR(__xludf.DUMMYFUNCTION("""COMPUTED_VALUE"""),"Trophy")</f>
        <v>Trophy</v>
      </c>
    </row>
    <row r="48" spans="1:4" ht="15">
      <c r="A48" s="8" t="str">
        <f ca="1">IFERROR(__xludf.DUMMYFUNCTION("""COMPUTED_VALUE"""),"Overall Judge's Choice")</f>
        <v>Overall Judge's Choice</v>
      </c>
      <c r="B48" s="8" t="str">
        <f ca="1">IFERROR(__xludf.DUMMYFUNCTION("""COMPUTED_VALUE"""),"HTL St. Pölten")</f>
        <v>HTL St. Pölten</v>
      </c>
      <c r="C48" s="9" t="str">
        <f ca="1">IFERROR(__xludf.DUMMYFUNCTION("""COMPUTED_VALUE"""),"635")</f>
        <v>635</v>
      </c>
      <c r="D48" s="9" t="str">
        <f ca="1">IFERROR(__xludf.DUMMYFUNCTION("""COMPUTED_VALUE"""),"Banner")</f>
        <v>Banner</v>
      </c>
    </row>
    <row r="49" spans="1:4" ht="15">
      <c r="A49" s="8" t="str">
        <f ca="1">IFERROR(__xludf.DUMMYFUNCTION("""COMPUTED_VALUE"""),"Overall Judge's Choice")</f>
        <v>Overall Judge's Choice</v>
      </c>
      <c r="B49" s="8" t="str">
        <f ca="1">IFERROR(__xludf.DUMMYFUNCTION("""COMPUTED_VALUE"""),"Los Altos Community Team")</f>
        <v>Los Altos Community Team</v>
      </c>
      <c r="C49" s="9" t="str">
        <f ca="1">IFERROR(__xludf.DUMMYFUNCTION("""COMPUTED_VALUE"""),"399")</f>
        <v>399</v>
      </c>
      <c r="D49" s="9" t="str">
        <f ca="1">IFERROR(__xludf.DUMMYFUNCTION("""COMPUTED_VALUE"""),"Trophy")</f>
        <v>Trophy</v>
      </c>
    </row>
    <row r="50" spans="1:4" ht="15">
      <c r="A50" s="8" t="str">
        <f ca="1">IFERROR(__xludf.DUMMYFUNCTION("""COMPUTED_VALUE"""),"Judge's Choice")</f>
        <v>Judge's Choice</v>
      </c>
      <c r="B50" s="9" t="str">
        <f ca="1">IFERROR(__xludf.DUMMYFUNCTION("""COMPUTED_VALUE"""),"HTL Wiener Neustadt")</f>
        <v>HTL Wiener Neustadt</v>
      </c>
      <c r="C50" s="9" t="str">
        <f ca="1">IFERROR(__xludf.DUMMYFUNCTION("""COMPUTED_VALUE"""),"188")</f>
        <v>188</v>
      </c>
      <c r="D50" s="9" t="str">
        <f ca="1">IFERROR(__xludf.DUMMYFUNCTION("""COMPUTED_VALUE"""),"Trophy")</f>
        <v>Trophy</v>
      </c>
    </row>
    <row r="51" spans="1:4" ht="15">
      <c r="A51" s="8" t="str">
        <f ca="1">IFERROR(__xludf.DUMMYFUNCTION("""COMPUTED_VALUE"""),"Outstanding Rookie Team")</f>
        <v>Outstanding Rookie Team</v>
      </c>
      <c r="B51" s="8" t="str">
        <f ca="1">IFERROR(__xludf.DUMMYFUNCTION("""COMPUTED_VALUE"""),"Millwood Arts Academy")</f>
        <v>Millwood Arts Academy</v>
      </c>
      <c r="C51" s="9" t="str">
        <f ca="1">IFERROR(__xludf.DUMMYFUNCTION("""COMPUTED_VALUE"""),"59")</f>
        <v>59</v>
      </c>
      <c r="D51" s="9" t="str">
        <f ca="1">IFERROR(__xludf.DUMMYFUNCTION("""COMPUTED_VALUE"""),"Banner")</f>
        <v>Banner</v>
      </c>
    </row>
    <row r="52" spans="1:4" ht="15">
      <c r="A52" s="8" t="str">
        <f ca="1">IFERROR(__xludf.DUMMYFUNCTION("""COMPUTED_VALUE"""),"Outstanding Rookie Team")</f>
        <v>Outstanding Rookie Team</v>
      </c>
      <c r="B52" s="8" t="str">
        <f ca="1">IFERROR(__xludf.DUMMYFUNCTION("""COMPUTED_VALUE"""),"Australia Team")</f>
        <v>Australia Team</v>
      </c>
      <c r="C52" s="9" t="str">
        <f ca="1">IFERROR(__xludf.DUMMYFUNCTION("""COMPUTED_VALUE"""),"921")</f>
        <v>921</v>
      </c>
      <c r="D52" s="9" t="str">
        <f ca="1">IFERROR(__xludf.DUMMYFUNCTION("""COMPUTED_VALUE"""),"Trophy")</f>
        <v>Trophy</v>
      </c>
    </row>
    <row r="53" spans="1:4" ht="15">
      <c r="A53" s="8" t="str">
        <f ca="1">IFERROR(__xludf.DUMMYFUNCTION("""COMPUTED_VALUE"""),"Outstanding Middle School")</f>
        <v>Outstanding Middle School</v>
      </c>
      <c r="B53" s="9" t="str">
        <f ca="1">IFERROR(__xludf.DUMMYFUNCTION("""COMPUTED_VALUE"""),"Galileo STEM Academy")</f>
        <v>Galileo STEM Academy</v>
      </c>
      <c r="C53" s="9" t="str">
        <f ca="1">IFERROR(__xludf.DUMMYFUNCTION("""COMPUTED_VALUE"""),"700")</f>
        <v>700</v>
      </c>
      <c r="D53" s="9" t="str">
        <f ca="1">IFERROR(__xludf.DUMMYFUNCTION("""COMPUTED_VALUE"""),"Trophy")</f>
        <v>Trophy</v>
      </c>
    </row>
    <row r="54" spans="1:4" ht="15">
      <c r="A54" s="8"/>
      <c r="B54" s="8"/>
      <c r="C54" s="8"/>
      <c r="D54" s="8"/>
    </row>
    <row r="55" spans="1:4" ht="15.6">
      <c r="A55" s="7" t="str">
        <f ca="1">IFERROR(__xludf.DUMMYFUNCTION("""COMPUTED_VALUE"""),"Certificates")</f>
        <v>Certificates</v>
      </c>
      <c r="B55" s="8"/>
      <c r="C55" s="8"/>
      <c r="D55" s="8"/>
    </row>
    <row r="56" spans="1:4" ht="15">
      <c r="A56" s="8" t="str">
        <f ca="1">IFERROR(__xludf.DUMMYFUNCTION("""COMPUTED_VALUE"""),"Robot Collaboration/Synchronization")</f>
        <v>Robot Collaboration/Synchronization</v>
      </c>
      <c r="B56" s="9" t="str">
        <f ca="1">IFERROR(__xludf.DUMMYFUNCTION("""COMPUTED_VALUE"""),"Beanstalk International Bilingual School")</f>
        <v>Beanstalk International Bilingual School</v>
      </c>
      <c r="C56" s="9" t="str">
        <f ca="1">IFERROR(__xludf.DUMMYFUNCTION("""COMPUTED_VALUE"""),"663")</f>
        <v>663</v>
      </c>
      <c r="D56" s="8"/>
    </row>
    <row r="57" spans="1:4" ht="15">
      <c r="A57" s="8" t="str">
        <f ca="1">IFERROR(__xludf.DUMMYFUNCTION("""COMPUTED_VALUE"""),"Robot Collaboration/Synchronization")</f>
        <v>Robot Collaboration/Synchronization</v>
      </c>
      <c r="B57" s="9" t="str">
        <f ca="1">IFERROR(__xludf.DUMMYFUNCTION("""COMPUTED_VALUE"""),"HTL Wiener Neustadt")</f>
        <v>HTL Wiener Neustadt</v>
      </c>
      <c r="C57" s="9" t="str">
        <f ca="1">IFERROR(__xludf.DUMMYFUNCTION("""COMPUTED_VALUE"""),"606")</f>
        <v>606</v>
      </c>
      <c r="D57" s="8"/>
    </row>
    <row r="58" spans="1:4" ht="15">
      <c r="A58" s="8" t="str">
        <f ca="1">IFERROR(__xludf.DUMMYFUNCTION("""COMPUTED_VALUE"""),"Engineering")</f>
        <v>Engineering</v>
      </c>
      <c r="B58" s="8" t="str">
        <f ca="1">IFERROR(__xludf.DUMMYFUNCTION("""COMPUTED_VALUE"""),"Noble High School")</f>
        <v>Noble High School</v>
      </c>
      <c r="C58" s="9" t="str">
        <f ca="1">IFERROR(__xludf.DUMMYFUNCTION("""COMPUTED_VALUE"""),"468")</f>
        <v>468</v>
      </c>
      <c r="D58" s="8"/>
    </row>
    <row r="59" spans="1:4" ht="15">
      <c r="A59" s="8" t="str">
        <f ca="1">IFERROR(__xludf.DUMMYFUNCTION("""COMPUTED_VALUE"""),"Programming")</f>
        <v>Programming</v>
      </c>
      <c r="B59" s="8" t="str">
        <f ca="1">IFERROR(__xludf.DUMMYFUNCTION("""COMPUTED_VALUE"""),"HTL Wiener Neustadt")</f>
        <v>HTL Wiener Neustadt</v>
      </c>
      <c r="C59" s="9" t="str">
        <f ca="1">IFERROR(__xludf.DUMMYFUNCTION("""COMPUTED_VALUE"""),"188")</f>
        <v>188</v>
      </c>
      <c r="D59" s="8"/>
    </row>
    <row r="60" spans="1:4" ht="15">
      <c r="A60" s="8" t="str">
        <f ca="1">IFERROR(__xludf.DUMMYFUNCTION("""COMPUTED_VALUE"""),"Programming")</f>
        <v>Programming</v>
      </c>
      <c r="B60" s="8" t="str">
        <f ca="1">IFERROR(__xludf.DUMMYFUNCTION("""COMPUTED_VALUE"""),"Los Altos Community Team")</f>
        <v>Los Altos Community Team</v>
      </c>
      <c r="C60" s="9" t="str">
        <f ca="1">IFERROR(__xludf.DUMMYFUNCTION("""COMPUTED_VALUE"""),"399")</f>
        <v>399</v>
      </c>
      <c r="D60" s="8"/>
    </row>
    <row r="61" spans="1:4" ht="15">
      <c r="A61" s="8" t="str">
        <f ca="1">IFERROR(__xludf.DUMMYFUNCTION("""COMPUTED_VALUE"""),"Sub-System")</f>
        <v>Sub-System</v>
      </c>
      <c r="B61" s="8" t="str">
        <f ca="1">IFERROR(__xludf.DUMMYFUNCTION("""COMPUTED_VALUE"""),"Radiant Robotics")</f>
        <v>Radiant Robotics</v>
      </c>
      <c r="C61" s="9" t="str">
        <f ca="1">IFERROR(__xludf.DUMMYFUNCTION("""COMPUTED_VALUE"""),"926")</f>
        <v>926</v>
      </c>
      <c r="D61" s="8"/>
    </row>
    <row r="62" spans="1:4" ht="15">
      <c r="A62" s="8" t="str">
        <f ca="1">IFERROR(__xludf.DUMMYFUNCTION("""COMPUTED_VALUE"""),"Outstanding Effector")</f>
        <v>Outstanding Effector</v>
      </c>
      <c r="B62" s="8" t="str">
        <f ca="1">IFERROR(__xludf.DUMMYFUNCTION("""COMPUTED_VALUE"""),"PUI CHING MIDDLE SCHOOL")</f>
        <v>PUI CHING MIDDLE SCHOOL</v>
      </c>
      <c r="C62" s="9" t="str">
        <f ca="1">IFERROR(__xludf.DUMMYFUNCTION("""COMPUTED_VALUE"""),"665")</f>
        <v>665</v>
      </c>
      <c r="D62" s="8"/>
    </row>
    <row r="63" spans="1:4" ht="15">
      <c r="A63" s="8" t="str">
        <f ca="1">IFERROR(__xludf.DUMMYFUNCTION("""COMPUTED_VALUE"""),"Outreach")</f>
        <v>Outreach</v>
      </c>
      <c r="B63" s="8" t="str">
        <f ca="1">IFERROR(__xludf.DUMMYFUNCTION("""COMPUTED_VALUE"""),"Colonial Botball")</f>
        <v>Colonial Botball</v>
      </c>
      <c r="C63" s="9" t="str">
        <f ca="1">IFERROR(__xludf.DUMMYFUNCTION("""COMPUTED_VALUE"""),"141")</f>
        <v>141</v>
      </c>
      <c r="D63" s="8"/>
    </row>
    <row r="64" spans="1:4" ht="15">
      <c r="A64" s="8" t="str">
        <f ca="1">IFERROR(__xludf.DUMMYFUNCTION("""COMPUTED_VALUE"""),"Most Improved")</f>
        <v>Most Improved</v>
      </c>
      <c r="B64" s="8" t="str">
        <f ca="1">IFERROR(__xludf.DUMMYFUNCTION("""COMPUTED_VALUE"""),"Radiant Robotics")</f>
        <v>Radiant Robotics</v>
      </c>
      <c r="C64" s="9" t="str">
        <f ca="1">IFERROR(__xludf.DUMMYFUNCTION("""COMPUTED_VALUE"""),"813")</f>
        <v>813</v>
      </c>
      <c r="D64" s="8"/>
    </row>
    <row r="65" spans="1:4" ht="15">
      <c r="A65" s="8" t="str">
        <f ca="1">IFERROR(__xludf.DUMMYFUNCTION("""COMPUTED_VALUE"""),"Up and Coming")</f>
        <v>Up and Coming</v>
      </c>
      <c r="B65" s="8" t="str">
        <f ca="1">IFERROR(__xludf.DUMMYFUNCTION("""COMPUTED_VALUE"""),"Los Altos Community Team")</f>
        <v>Los Altos Community Team</v>
      </c>
      <c r="C65" s="9" t="str">
        <f ca="1">IFERROR(__xludf.DUMMYFUNCTION("""COMPUTED_VALUE"""),"329")</f>
        <v>329</v>
      </c>
      <c r="D65" s="8"/>
    </row>
    <row r="66" spans="1:4" ht="15">
      <c r="A66" s="8"/>
      <c r="B66" s="8"/>
      <c r="C66" s="8"/>
      <c r="D66" s="8"/>
    </row>
    <row r="67" spans="1:4" ht="15.6">
      <c r="A67" s="7" t="str">
        <f ca="1">IFERROR(__xludf.DUMMYFUNCTION("""COMPUTED_VALUE"""),"Conference Awards")</f>
        <v>Conference Awards</v>
      </c>
      <c r="B67" s="8"/>
      <c r="C67" s="8"/>
      <c r="D67" s="8"/>
    </row>
    <row r="68" spans="1:4" ht="15">
      <c r="A68" s="8" t="str">
        <f ca="1">IFERROR(__xludf.DUMMYFUNCTION("""COMPUTED_VALUE"""),"Outstanding Student")</f>
        <v>Outstanding Student</v>
      </c>
      <c r="B68" s="8" t="str">
        <f ca="1">IFERROR(__xludf.DUMMYFUNCTION("""COMPUTED_VALUE"""),"Tobias Madlberger")</f>
        <v>Tobias Madlberger</v>
      </c>
      <c r="C68" s="9" t="str">
        <f ca="1">IFERROR(__xludf.DUMMYFUNCTION("""COMPUTED_VALUE"""),"635")</f>
        <v>635</v>
      </c>
      <c r="D68" s="8"/>
    </row>
    <row r="69" spans="1:4" ht="15">
      <c r="A69" s="8" t="str">
        <f ca="1">IFERROR(__xludf.DUMMYFUNCTION("""COMPUTED_VALUE"""),"Do the Math, Save the World")</f>
        <v>Do the Math, Save the World</v>
      </c>
      <c r="B69" s="8" t="str">
        <f ca="1">IFERROR(__xludf.DUMMYFUNCTION("""COMPUTED_VALUE"""),"Malden Catholic High School")</f>
        <v>Malden Catholic High School</v>
      </c>
      <c r="C69" s="9" t="str">
        <f ca="1">IFERROR(__xludf.DUMMYFUNCTION("""COMPUTED_VALUE"""),"7")</f>
        <v>7</v>
      </c>
      <c r="D69" s="9" t="str">
        <f ca="1">IFERROR(__xludf.DUMMYFUNCTION("""COMPUTED_VALUE"""),"Trophy")</f>
        <v>Trophy</v>
      </c>
    </row>
    <row r="70" spans="1:4" ht="15">
      <c r="A70" s="8" t="str">
        <f ca="1">IFERROR(__xludf.DUMMYFUNCTION("""COMPUTED_VALUE"""),"Do the Math, Save the World &amp; Outstanding Paper")</f>
        <v>Do the Math, Save the World &amp; Outstanding Paper</v>
      </c>
      <c r="B70" s="8" t="str">
        <f ca="1">IFERROR(__xludf.DUMMYFUNCTION("""COMPUTED_VALUE"""),"HTL Wiener Neustadt")</f>
        <v>HTL Wiener Neustadt</v>
      </c>
      <c r="C70" s="9" t="str">
        <f ca="1">IFERROR(__xludf.DUMMYFUNCTION("""COMPUTED_VALUE"""),"606")</f>
        <v>606</v>
      </c>
      <c r="D70" s="9" t="str">
        <f ca="1">IFERROR(__xludf.DUMMYFUNCTION("""COMPUTED_VALUE"""),"Trophy")</f>
        <v>Trophy</v>
      </c>
    </row>
    <row r="71" spans="1:4" ht="15">
      <c r="A71" s="8" t="str">
        <f ca="1">IFERROR(__xludf.DUMMYFUNCTION("""COMPUTED_VALUE"""),"Outstanding Volunteer")</f>
        <v>Outstanding Volunteer</v>
      </c>
      <c r="B71" s="8" t="str">
        <f ca="1">IFERROR(__xludf.DUMMYFUNCTION("""COMPUTED_VALUE"""),"Sheri Gundlach")</f>
        <v>Sheri Gundlach</v>
      </c>
      <c r="C71" s="8"/>
      <c r="D71" s="8"/>
    </row>
    <row r="72" spans="1:4" ht="15">
      <c r="A72" s="8" t="str">
        <f ca="1">IFERROR(__xludf.DUMMYFUNCTION("""COMPUTED_VALUE"""),"Outstanding Volunteer")</f>
        <v>Outstanding Volunteer</v>
      </c>
      <c r="B72" s="8" t="str">
        <f ca="1">IFERROR(__xludf.DUMMYFUNCTION("""COMPUTED_VALUE"""),"Jeff Crownover")</f>
        <v>Jeff Crownover</v>
      </c>
      <c r="C72" s="8"/>
      <c r="D72" s="8"/>
    </row>
    <row r="73" spans="1:4" ht="15">
      <c r="A73" s="8" t="str">
        <f ca="1">IFERROR(__xludf.DUMMYFUNCTION("""COMPUTED_VALUE"""),"Outstanding Volunteer")</f>
        <v>Outstanding Volunteer</v>
      </c>
      <c r="B73" s="8" t="str">
        <f ca="1">IFERROR(__xludf.DUMMYFUNCTION("""COMPUTED_VALUE"""),"Brian Long")</f>
        <v>Brian Long</v>
      </c>
      <c r="C73" s="8"/>
      <c r="D73" s="8"/>
    </row>
    <row r="74" spans="1:4" ht="15">
      <c r="A74" s="8" t="str">
        <f ca="1">IFERROR(__xludf.DUMMYFUNCTION("""COMPUTED_VALUE"""),"JBC")</f>
        <v>JBC</v>
      </c>
      <c r="B74" s="8"/>
      <c r="C74" s="8"/>
      <c r="D74" s="8"/>
    </row>
    <row r="75" spans="1:4" ht="15.6">
      <c r="A75" s="7" t="str">
        <f ca="1">IFERROR(__xludf.DUMMYFUNCTION("""COMPUTED_VALUE"""),"Judges Choice Advanced")</f>
        <v>Judges Choice Advanced</v>
      </c>
      <c r="B75" s="8" t="str">
        <f ca="1">IFERROR(__xludf.DUMMYFUNCTION("""COMPUTED_VALUE"""),"Starry Sky ")</f>
        <v xml:space="preserve">Starry Sky </v>
      </c>
      <c r="C75" s="8"/>
      <c r="D75" s="8"/>
    </row>
    <row r="76" spans="1:4" ht="15">
      <c r="A76" s="8" t="str">
        <f ca="1">IFERROR(__xludf.DUMMYFUNCTION("""COMPUTED_VALUE"""),"Judges Choice Open")</f>
        <v>Judges Choice Open</v>
      </c>
      <c r="B76" s="8" t="str">
        <f ca="1">IFERROR(__xludf.DUMMYFUNCTION("""COMPUTED_VALUE"""),"Team Name -Taipei ")</f>
        <v xml:space="preserve">Team Name -Taipei </v>
      </c>
      <c r="C76" s="8"/>
      <c r="D76" s="8"/>
    </row>
    <row r="77" spans="1:4" ht="15">
      <c r="A77" s="8" t="str">
        <f ca="1">IFERROR(__xludf.DUMMYFUNCTION("""COMPUTED_VALUE"""),"KISS Award")</f>
        <v>KISS Award</v>
      </c>
      <c r="B77" s="8" t="str">
        <f ca="1">IFERROR(__xludf.DUMMYFUNCTION("""COMPUTED_VALUE"""),"Millwood")</f>
        <v>Millwood</v>
      </c>
      <c r="C77" s="8"/>
      <c r="D77" s="8"/>
    </row>
    <row r="78" spans="1:4" ht="15">
      <c r="A78" s="8" t="str">
        <f ca="1">IFERROR(__xludf.DUMMYFUNCTION("""COMPUTED_VALUE"""),"1st Overall Advanced")</f>
        <v>1st Overall Advanced</v>
      </c>
      <c r="B78" s="8" t="str">
        <f ca="1">IFERROR(__xludf.DUMMYFUNCTION("""COMPUTED_VALUE"""),"PCMS - Team A ")</f>
        <v xml:space="preserve">PCMS - Team A </v>
      </c>
      <c r="C78" s="8"/>
      <c r="D78" s="8"/>
    </row>
    <row r="79" spans="1:4" ht="15">
      <c r="A79" s="8" t="str">
        <f ca="1">IFERROR(__xludf.DUMMYFUNCTION("""COMPUTED_VALUE"""),"2nd Overall Advanced")</f>
        <v>2nd Overall Advanced</v>
      </c>
      <c r="B79" s="8" t="str">
        <f ca="1">IFERROR(__xludf.DUMMYFUNCTION("""COMPUTED_VALUE"""),"Starry Sky ")</f>
        <v xml:space="preserve">Starry Sky </v>
      </c>
      <c r="C79" s="8"/>
      <c r="D79" s="8"/>
    </row>
    <row r="80" spans="1:4" ht="15">
      <c r="A80" s="8" t="str">
        <f ca="1">IFERROR(__xludf.DUMMYFUNCTION("""COMPUTED_VALUE"""),"3rd Overall Advanced (Tied)")</f>
        <v>3rd Overall Advanced (Tied)</v>
      </c>
      <c r="B80" s="8" t="str">
        <f ca="1">IFERROR(__xludf.DUMMYFUNCTION("""COMPUTED_VALUE"""),"BIBS - Lightning ")</f>
        <v xml:space="preserve">BIBS - Lightning </v>
      </c>
      <c r="C80" s="8"/>
      <c r="D80" s="8"/>
    </row>
    <row r="81" spans="1:4" ht="15">
      <c r="A81" s="8" t="str">
        <f ca="1">IFERROR(__xludf.DUMMYFUNCTION("""COMPUTED_VALUE"""),"3rd Overall Advanced (Tied)")</f>
        <v>3rd Overall Advanced (Tied)</v>
      </c>
      <c r="B81" s="8" t="str">
        <f ca="1">IFERROR(__xludf.DUMMYFUNCTION("""COMPUTED_VALUE"""),"BIBS - Ranger ")</f>
        <v xml:space="preserve">BIBS - Ranger </v>
      </c>
      <c r="C81" s="8"/>
      <c r="D81" s="8"/>
    </row>
    <row r="82" spans="1:4" ht="15">
      <c r="A82" s="8" t="str">
        <f ca="1">IFERROR(__xludf.DUMMYFUNCTION("""COMPUTED_VALUE"""),"1st Overall Open (Tied)")</f>
        <v>1st Overall Open (Tied)</v>
      </c>
      <c r="B82" s="8" t="str">
        <f ca="1">IFERROR(__xludf.DUMMYFUNCTION("""COMPUTED_VALUE"""),"Ha Space ")</f>
        <v xml:space="preserve">Ha Space </v>
      </c>
      <c r="C82" s="8"/>
      <c r="D82" s="8"/>
    </row>
    <row r="83" spans="1:4" ht="15">
      <c r="A83" s="8" t="str">
        <f ca="1">IFERROR(__xludf.DUMMYFUNCTION("""COMPUTED_VALUE"""),"1st Overall Open (Tied)")</f>
        <v>1st Overall Open (Tied)</v>
      </c>
      <c r="B83" s="8" t="str">
        <f ca="1">IFERROR(__xludf.DUMMYFUNCTION("""COMPUTED_VALUE"""),"Ha Star")</f>
        <v>Ha Star</v>
      </c>
      <c r="C83" s="8"/>
      <c r="D83" s="8"/>
    </row>
    <row r="84" spans="1:4" ht="15">
      <c r="A84" s="8" t="str">
        <f ca="1">IFERROR(__xludf.DUMMYFUNCTION("""COMPUTED_VALUE"""),"2nd Overall Open (Tied)")</f>
        <v>2nd Overall Open (Tied)</v>
      </c>
      <c r="B84" s="8" t="str">
        <f ca="1">IFERROR(__xludf.DUMMYFUNCTION("""COMPUTED_VALUE"""),"HWFL- Eagles")</f>
        <v>HWFL- Eagles</v>
      </c>
      <c r="C84" s="8"/>
      <c r="D84" s="8"/>
    </row>
    <row r="85" spans="1:4" ht="15">
      <c r="A85" s="8" t="str">
        <f ca="1">IFERROR(__xludf.DUMMYFUNCTION("""COMPUTED_VALUE"""),"2nd Overall Open (Tied)")</f>
        <v>2nd Overall Open (Tied)</v>
      </c>
      <c r="B85" s="8" t="str">
        <f ca="1">IFERROR(__xludf.DUMMYFUNCTION("""COMPUTED_VALUE"""),"HWFL - Dream ")</f>
        <v xml:space="preserve">HWFL - Dream </v>
      </c>
      <c r="C85" s="8"/>
      <c r="D85" s="8"/>
    </row>
    <row r="86" spans="1:4" ht="15">
      <c r="A86" s="8"/>
      <c r="B86" s="8"/>
      <c r="C86" s="8"/>
      <c r="D86" s="8"/>
    </row>
    <row r="87" spans="1:4" ht="15">
      <c r="A87" s="8"/>
      <c r="B87" s="8"/>
      <c r="C87" s="8"/>
      <c r="D87" s="8"/>
    </row>
    <row r="88" spans="1:4" ht="15">
      <c r="A88" s="8"/>
      <c r="B88" s="8"/>
      <c r="C88" s="8"/>
      <c r="D88" s="8"/>
    </row>
    <row r="89" spans="1:4" ht="15">
      <c r="A89" s="8"/>
      <c r="B89" s="8"/>
      <c r="C89" s="10"/>
      <c r="D89" s="11"/>
    </row>
    <row r="90" spans="1:4" ht="15">
      <c r="A90" s="8"/>
      <c r="C90" s="10"/>
      <c r="D90" s="11"/>
    </row>
  </sheetData>
  <pageMargins left="0.7" right="0.7" top="0.75" bottom="0.75" header="0.3" footer="0.3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outlinePr summaryBelow="0" summaryRight="0"/>
  </sheetPr>
  <dimension ref="A1:U54"/>
  <sheetViews>
    <sheetView showGridLines="0" workbookViewId="0"/>
  </sheetViews>
  <sheetFormatPr defaultColWidth="12.6640625" defaultRowHeight="15.75" customHeight="1"/>
  <cols>
    <col min="1" max="21" width="7.6640625" customWidth="1"/>
  </cols>
  <sheetData>
    <row r="1" spans="1:21" ht="15.75" customHeight="1">
      <c r="A1" s="12" t="str">
        <f ca="1">IFERROR(__xludf.DUMMYFUNCTION("IMPORTRANGE(""https://docs.google.com/spreadsheets/d/11rZfuCcnWwx4mypRymG7SP3aoV-_A_PQ83tyDxi-OiQ/edit?gid=144174392#gid=144174392"", ""DE Bracket Artemis!A1:U54"")"),"")</f>
        <v/>
      </c>
      <c r="B1" s="28" t="str">
        <f ca="1">IFERROR(__xludf.DUMMYFUNCTION("""COMPUTED_VALUE"""),"Artemis Main Bracket")</f>
        <v>Artemis Main Bracket</v>
      </c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>
      <c r="A2" s="12"/>
      <c r="B2" s="21"/>
      <c r="C2" s="21"/>
      <c r="D2" s="21"/>
      <c r="E2" s="21"/>
      <c r="F2" s="21"/>
      <c r="G2" s="12"/>
      <c r="H2" s="12"/>
      <c r="I2" s="12"/>
      <c r="J2" s="12"/>
      <c r="K2" s="29" t="str">
        <f ca="1">IFERROR(__xludf.DUMMYFUNCTION("""COMPUTED_VALUE"""),"Timeout Used")</f>
        <v>Timeout Used</v>
      </c>
      <c r="L2" s="21"/>
      <c r="M2" s="12"/>
      <c r="N2" s="12"/>
      <c r="O2" s="12"/>
      <c r="P2" s="12"/>
      <c r="Q2" s="12"/>
      <c r="R2" s="12"/>
      <c r="S2" s="12"/>
      <c r="T2" s="12"/>
      <c r="U2" s="12"/>
    </row>
    <row r="3" spans="1:21" ht="15.75" customHeight="1">
      <c r="A3" s="12" t="str">
        <f ca="1">IFERROR(__xludf.DUMMYFUNCTION("""COMPUTED_VALUE"""),"Seed #")</f>
        <v>Seed #</v>
      </c>
      <c r="B3" s="23" t="str">
        <f ca="1">IFERROR(__xludf.DUMMYFUNCTION("""COMPUTED_VALUE"""),"Game 1")</f>
        <v>Game 1</v>
      </c>
      <c r="C3" s="24"/>
      <c r="D3" s="24"/>
      <c r="E3" s="20"/>
      <c r="F3" s="21"/>
      <c r="G3" s="21"/>
      <c r="H3" s="20"/>
      <c r="I3" s="21"/>
      <c r="J3" s="21"/>
      <c r="K3" s="20"/>
      <c r="L3" s="21"/>
      <c r="M3" s="21"/>
      <c r="N3" s="20"/>
      <c r="O3" s="21"/>
      <c r="P3" s="20"/>
      <c r="Q3" s="21"/>
      <c r="R3" s="21"/>
      <c r="S3" s="21"/>
      <c r="T3" s="12"/>
      <c r="U3" s="12"/>
    </row>
    <row r="4" spans="1:21" ht="15.75" customHeight="1">
      <c r="A4" s="13">
        <f ca="1">IFERROR(__xludf.DUMMYFUNCTION("""COMPUTED_VALUE"""),1)</f>
        <v>1</v>
      </c>
      <c r="B4" s="20" t="str">
        <f ca="1">IFERROR(__xludf.DUMMYFUNCTION("""COMPUTED_VALUE"""),"606 HTL Wie")</f>
        <v>606 HTL Wie</v>
      </c>
      <c r="C4" s="21"/>
      <c r="D4" s="22"/>
      <c r="E4" s="23" t="str">
        <f ca="1">IFERROR(__xludf.DUMMYFUNCTION("""COMPUTED_VALUE"""),"Game 13")</f>
        <v>Game 13</v>
      </c>
      <c r="F4" s="24"/>
      <c r="G4" s="24"/>
      <c r="H4" s="20"/>
      <c r="I4" s="21"/>
      <c r="J4" s="21"/>
      <c r="K4" s="20"/>
      <c r="L4" s="21"/>
      <c r="M4" s="21"/>
      <c r="N4" s="20"/>
      <c r="O4" s="21"/>
      <c r="P4" s="20"/>
      <c r="Q4" s="21"/>
      <c r="R4" s="21"/>
      <c r="S4" s="21"/>
      <c r="T4" s="12"/>
      <c r="U4" s="12"/>
    </row>
    <row r="5" spans="1:21" ht="15.75" customHeight="1">
      <c r="A5" s="13">
        <f ca="1">IFERROR(__xludf.DUMMYFUNCTION("""COMPUTED_VALUE"""),16)</f>
        <v>16</v>
      </c>
      <c r="B5" s="27" t="str">
        <f ca="1">IFERROR(__xludf.DUMMYFUNCTION("""COMPUTED_VALUE"""),"Bye")</f>
        <v>Bye</v>
      </c>
      <c r="C5" s="24"/>
      <c r="D5" s="26"/>
      <c r="E5" s="20" t="str">
        <f ca="1">IFERROR(__xludf.DUMMYFUNCTION("""COMPUTED_VALUE"""),"606 HTL Wie")</f>
        <v>606 HTL Wie</v>
      </c>
      <c r="F5" s="21"/>
      <c r="G5" s="22"/>
      <c r="H5" s="20"/>
      <c r="I5" s="21"/>
      <c r="J5" s="21"/>
      <c r="K5" s="20"/>
      <c r="L5" s="21"/>
      <c r="M5" s="21"/>
      <c r="N5" s="20"/>
      <c r="O5" s="21"/>
      <c r="P5" s="20"/>
      <c r="Q5" s="21"/>
      <c r="R5" s="21"/>
      <c r="S5" s="21"/>
      <c r="T5" s="12"/>
      <c r="U5" s="12"/>
    </row>
    <row r="6" spans="1:21" ht="15.75" customHeight="1">
      <c r="A6" s="12"/>
      <c r="B6" s="20"/>
      <c r="C6" s="21"/>
      <c r="D6" s="21"/>
      <c r="E6" s="20"/>
      <c r="F6" s="21"/>
      <c r="G6" s="22"/>
      <c r="H6" s="23" t="str">
        <f ca="1">IFERROR(__xludf.DUMMYFUNCTION("""COMPUTED_VALUE"""),"Game 21")</f>
        <v>Game 21</v>
      </c>
      <c r="I6" s="24"/>
      <c r="J6" s="24"/>
      <c r="K6" s="20"/>
      <c r="L6" s="21"/>
      <c r="M6" s="21"/>
      <c r="N6" s="20"/>
      <c r="O6" s="21"/>
      <c r="P6" s="20"/>
      <c r="Q6" s="21"/>
      <c r="R6" s="21"/>
      <c r="S6" s="21"/>
      <c r="T6" s="12"/>
      <c r="U6" s="12"/>
    </row>
    <row r="7" spans="1:21" ht="15.75" customHeight="1">
      <c r="A7" s="12"/>
      <c r="B7" s="23" t="str">
        <f ca="1">IFERROR(__xludf.DUMMYFUNCTION("""COMPUTED_VALUE"""),"Game 2")</f>
        <v>Game 2</v>
      </c>
      <c r="C7" s="24"/>
      <c r="D7" s="24"/>
      <c r="E7" s="20"/>
      <c r="F7" s="21"/>
      <c r="G7" s="22"/>
      <c r="H7" s="20" t="str">
        <f ca="1">IFERROR(__xludf.DUMMYFUNCTION("""COMPUTED_VALUE"""),"606 HTL Wie")</f>
        <v>606 HTL Wie</v>
      </c>
      <c r="I7" s="21"/>
      <c r="J7" s="22"/>
      <c r="K7" s="20"/>
      <c r="L7" s="21"/>
      <c r="M7" s="21"/>
      <c r="N7" s="20"/>
      <c r="O7" s="21"/>
      <c r="P7" s="20"/>
      <c r="Q7" s="21"/>
      <c r="R7" s="21"/>
      <c r="S7" s="21"/>
      <c r="T7" s="12"/>
      <c r="U7" s="12"/>
    </row>
    <row r="8" spans="1:21" ht="15.75" customHeight="1">
      <c r="A8" s="13">
        <f ca="1">IFERROR(__xludf.DUMMYFUNCTION("""COMPUTED_VALUE"""),8)</f>
        <v>8</v>
      </c>
      <c r="B8" s="20" t="str">
        <f ca="1">IFERROR(__xludf.DUMMYFUNCTION("""COMPUTED_VALUE"""),"329 Los Alt")</f>
        <v>329 Los Alt</v>
      </c>
      <c r="C8" s="21"/>
      <c r="D8" s="22"/>
      <c r="E8" s="30" t="str">
        <f ca="1">IFERROR(__xludf.DUMMYFUNCTION("""COMPUTED_VALUE"""),"329 Los Alt")</f>
        <v>329 Los Alt</v>
      </c>
      <c r="F8" s="24"/>
      <c r="G8" s="26"/>
      <c r="H8" s="20"/>
      <c r="I8" s="21"/>
      <c r="J8" s="22"/>
      <c r="K8" s="20"/>
      <c r="L8" s="21"/>
      <c r="M8" s="21"/>
      <c r="N8" s="20"/>
      <c r="O8" s="21"/>
      <c r="P8" s="20"/>
      <c r="Q8" s="21"/>
      <c r="R8" s="21"/>
      <c r="S8" s="21"/>
      <c r="T8" s="12"/>
      <c r="U8" s="12"/>
    </row>
    <row r="9" spans="1:21" ht="15.75" customHeight="1">
      <c r="A9" s="13">
        <f ca="1">IFERROR(__xludf.DUMMYFUNCTION("""COMPUTED_VALUE"""),9)</f>
        <v>9</v>
      </c>
      <c r="B9" s="25" t="str">
        <f ca="1">IFERROR(__xludf.DUMMYFUNCTION("""COMPUTED_VALUE"""),"927 Radiant")</f>
        <v>927 Radiant</v>
      </c>
      <c r="C9" s="24"/>
      <c r="D9" s="26"/>
      <c r="E9" s="20"/>
      <c r="F9" s="21"/>
      <c r="G9" s="21"/>
      <c r="H9" s="20"/>
      <c r="I9" s="21"/>
      <c r="J9" s="22"/>
      <c r="K9" s="20"/>
      <c r="L9" s="21"/>
      <c r="M9" s="21"/>
      <c r="N9" s="20"/>
      <c r="O9" s="21"/>
      <c r="P9" s="20"/>
      <c r="Q9" s="21"/>
      <c r="R9" s="21"/>
      <c r="S9" s="21"/>
      <c r="T9" s="12"/>
      <c r="U9" s="12"/>
    </row>
    <row r="10" spans="1:21" ht="15.75" customHeight="1">
      <c r="A10" s="12"/>
      <c r="B10" s="20"/>
      <c r="C10" s="21"/>
      <c r="D10" s="21"/>
      <c r="E10" s="20"/>
      <c r="F10" s="21"/>
      <c r="G10" s="21"/>
      <c r="H10" s="20"/>
      <c r="I10" s="21"/>
      <c r="J10" s="22"/>
      <c r="K10" s="23" t="str">
        <f ca="1">IFERROR(__xludf.DUMMYFUNCTION("""COMPUTED_VALUE"""),"Game 27")</f>
        <v>Game 27</v>
      </c>
      <c r="L10" s="24"/>
      <c r="M10" s="24"/>
      <c r="N10" s="20"/>
      <c r="O10" s="21"/>
      <c r="P10" s="20"/>
      <c r="Q10" s="21"/>
      <c r="R10" s="21"/>
      <c r="S10" s="21"/>
      <c r="T10" s="12"/>
      <c r="U10" s="12"/>
    </row>
    <row r="11" spans="1:21" ht="15.75" customHeight="1">
      <c r="A11" s="12"/>
      <c r="B11" s="23" t="str">
        <f ca="1">IFERROR(__xludf.DUMMYFUNCTION("""COMPUTED_VALUE"""),"Game 3")</f>
        <v>Game 3</v>
      </c>
      <c r="C11" s="24"/>
      <c r="D11" s="24"/>
      <c r="E11" s="20"/>
      <c r="F11" s="21"/>
      <c r="G11" s="21"/>
      <c r="H11" s="20"/>
      <c r="I11" s="21"/>
      <c r="J11" s="22"/>
      <c r="K11" s="20" t="str">
        <f ca="1">IFERROR(__xludf.DUMMYFUNCTION("""COMPUTED_VALUE"""),"606 HTL Wie")</f>
        <v>606 HTL Wie</v>
      </c>
      <c r="L11" s="21"/>
      <c r="M11" s="22"/>
      <c r="N11" s="20"/>
      <c r="O11" s="21"/>
      <c r="P11" s="20"/>
      <c r="Q11" s="21"/>
      <c r="R11" s="21"/>
      <c r="S11" s="21"/>
      <c r="T11" s="12"/>
      <c r="U11" s="12"/>
    </row>
    <row r="12" spans="1:21" ht="15.75" customHeight="1">
      <c r="A12" s="13">
        <f ca="1">IFERROR(__xludf.DUMMYFUNCTION("""COMPUTED_VALUE"""),5)</f>
        <v>5</v>
      </c>
      <c r="B12" s="20" t="str">
        <f ca="1">IFERROR(__xludf.DUMMYFUNCTION("""COMPUTED_VALUE"""),"635 HTL St.")</f>
        <v>635 HTL St.</v>
      </c>
      <c r="C12" s="21"/>
      <c r="D12" s="22"/>
      <c r="E12" s="23" t="str">
        <f ca="1">IFERROR(__xludf.DUMMYFUNCTION("""COMPUTED_VALUE"""),"Game 14")</f>
        <v>Game 14</v>
      </c>
      <c r="F12" s="24"/>
      <c r="G12" s="24"/>
      <c r="H12" s="20"/>
      <c r="I12" s="21"/>
      <c r="J12" s="22"/>
      <c r="K12" s="20"/>
      <c r="L12" s="21"/>
      <c r="M12" s="22"/>
      <c r="N12" s="20"/>
      <c r="O12" s="21"/>
      <c r="P12" s="20"/>
      <c r="Q12" s="21"/>
      <c r="R12" s="21"/>
      <c r="S12" s="21"/>
      <c r="T12" s="12"/>
      <c r="U12" s="12"/>
    </row>
    <row r="13" spans="1:21" ht="15.75" customHeight="1">
      <c r="A13" s="13">
        <f ca="1">IFERROR(__xludf.DUMMYFUNCTION("""COMPUTED_VALUE"""),12)</f>
        <v>12</v>
      </c>
      <c r="B13" s="25" t="str">
        <f ca="1">IFERROR(__xludf.DUMMYFUNCTION("""COMPUTED_VALUE"""),"840 Westche")</f>
        <v>840 Westche</v>
      </c>
      <c r="C13" s="24"/>
      <c r="D13" s="26"/>
      <c r="E13" s="20" t="str">
        <f ca="1">IFERROR(__xludf.DUMMYFUNCTION("""COMPUTED_VALUE"""),"635 HTL St.")</f>
        <v>635 HTL St.</v>
      </c>
      <c r="F13" s="21"/>
      <c r="G13" s="22"/>
      <c r="H13" s="20"/>
      <c r="I13" s="21"/>
      <c r="J13" s="22"/>
      <c r="K13" s="20"/>
      <c r="L13" s="21"/>
      <c r="M13" s="22"/>
      <c r="N13" s="20"/>
      <c r="O13" s="21"/>
      <c r="P13" s="20"/>
      <c r="Q13" s="21"/>
      <c r="R13" s="21"/>
      <c r="S13" s="21"/>
      <c r="T13" s="12"/>
      <c r="U13" s="12"/>
    </row>
    <row r="14" spans="1:21" ht="15.75" customHeight="1">
      <c r="A14" s="12"/>
      <c r="B14" s="20"/>
      <c r="C14" s="21"/>
      <c r="D14" s="21"/>
      <c r="E14" s="20"/>
      <c r="F14" s="21"/>
      <c r="G14" s="22"/>
      <c r="H14" s="25" t="str">
        <f ca="1">IFERROR(__xludf.DUMMYFUNCTION("""COMPUTED_VALUE"""),"635 HTL St.")</f>
        <v>635 HTL St.</v>
      </c>
      <c r="I14" s="24"/>
      <c r="J14" s="26"/>
      <c r="K14" s="20"/>
      <c r="L14" s="21"/>
      <c r="M14" s="22"/>
      <c r="N14" s="20"/>
      <c r="O14" s="21"/>
      <c r="P14" s="20"/>
      <c r="Q14" s="21"/>
      <c r="R14" s="21"/>
      <c r="S14" s="21"/>
      <c r="T14" s="12"/>
      <c r="U14" s="12"/>
    </row>
    <row r="15" spans="1:21" ht="15.75" customHeight="1">
      <c r="A15" s="12"/>
      <c r="B15" s="23" t="str">
        <f ca="1">IFERROR(__xludf.DUMMYFUNCTION("""COMPUTED_VALUE"""),"Game 4")</f>
        <v>Game 4</v>
      </c>
      <c r="C15" s="24"/>
      <c r="D15" s="24"/>
      <c r="E15" s="20"/>
      <c r="F15" s="21"/>
      <c r="G15" s="22"/>
      <c r="H15" s="20"/>
      <c r="I15" s="21"/>
      <c r="J15" s="21"/>
      <c r="K15" s="20"/>
      <c r="L15" s="21"/>
      <c r="M15" s="22"/>
      <c r="N15" s="20"/>
      <c r="O15" s="21"/>
      <c r="P15" s="20"/>
      <c r="Q15" s="21"/>
      <c r="R15" s="21"/>
      <c r="S15" s="21"/>
      <c r="T15" s="12"/>
      <c r="U15" s="12"/>
    </row>
    <row r="16" spans="1:21" ht="15.75" customHeight="1">
      <c r="A16" s="13">
        <f ca="1">IFERROR(__xludf.DUMMYFUNCTION("""COMPUTED_VALUE"""),4)</f>
        <v>4</v>
      </c>
      <c r="B16" s="20" t="str">
        <f ca="1">IFERROR(__xludf.DUMMYFUNCTION("""COMPUTED_VALUE"""),"453 Los Alt")</f>
        <v>453 Los Alt</v>
      </c>
      <c r="C16" s="21"/>
      <c r="D16" s="22"/>
      <c r="E16" s="25" t="str">
        <f ca="1">IFERROR(__xludf.DUMMYFUNCTION("""COMPUTED_VALUE"""),"926 Radiant")</f>
        <v>926 Radiant</v>
      </c>
      <c r="F16" s="24"/>
      <c r="G16" s="26"/>
      <c r="H16" s="20"/>
      <c r="I16" s="21"/>
      <c r="J16" s="21"/>
      <c r="K16" s="20"/>
      <c r="L16" s="21"/>
      <c r="M16" s="22"/>
      <c r="N16" s="20"/>
      <c r="O16" s="21"/>
      <c r="P16" s="20"/>
      <c r="Q16" s="21"/>
      <c r="R16" s="21"/>
      <c r="S16" s="21"/>
      <c r="T16" s="12"/>
      <c r="U16" s="12"/>
    </row>
    <row r="17" spans="1:21" ht="15.75" customHeight="1">
      <c r="A17" s="13">
        <f ca="1">IFERROR(__xludf.DUMMYFUNCTION("""COMPUTED_VALUE"""),13)</f>
        <v>13</v>
      </c>
      <c r="B17" s="25" t="str">
        <f ca="1">IFERROR(__xludf.DUMMYFUNCTION("""COMPUTED_VALUE"""),"926 Radiant")</f>
        <v>926 Radiant</v>
      </c>
      <c r="C17" s="24"/>
      <c r="D17" s="26"/>
      <c r="E17" s="20"/>
      <c r="F17" s="21"/>
      <c r="G17" s="21"/>
      <c r="H17" s="20"/>
      <c r="I17" s="21"/>
      <c r="J17" s="21"/>
      <c r="K17" s="20"/>
      <c r="L17" s="21"/>
      <c r="M17" s="22"/>
      <c r="N17" s="20"/>
      <c r="O17" s="21"/>
      <c r="P17" s="20"/>
      <c r="Q17" s="21"/>
      <c r="R17" s="21"/>
      <c r="S17" s="21"/>
      <c r="T17" s="12"/>
      <c r="U17" s="12"/>
    </row>
    <row r="18" spans="1:21" ht="15.75" customHeight="1">
      <c r="A18" s="12"/>
      <c r="B18" s="20"/>
      <c r="C18" s="21"/>
      <c r="D18" s="21"/>
      <c r="E18" s="20"/>
      <c r="F18" s="21"/>
      <c r="G18" s="21"/>
      <c r="H18" s="20"/>
      <c r="I18" s="21"/>
      <c r="J18" s="21"/>
      <c r="K18" s="20"/>
      <c r="L18" s="21"/>
      <c r="M18" s="22"/>
      <c r="N18" s="23" t="str">
        <f ca="1">IFERROR(__xludf.DUMMYFUNCTION("""COMPUTED_VALUE"""),"Game 30")</f>
        <v>Game 30</v>
      </c>
      <c r="O18" s="24"/>
      <c r="P18" s="20"/>
      <c r="Q18" s="21"/>
      <c r="R18" s="21"/>
      <c r="S18" s="21"/>
      <c r="T18" s="12"/>
      <c r="U18" s="12"/>
    </row>
    <row r="19" spans="1:21" ht="15.75" customHeight="1">
      <c r="A19" s="12"/>
      <c r="B19" s="23" t="str">
        <f ca="1">IFERROR(__xludf.DUMMYFUNCTION("""COMPUTED_VALUE"""),"Game 5")</f>
        <v>Game 5</v>
      </c>
      <c r="C19" s="24"/>
      <c r="D19" s="24"/>
      <c r="E19" s="20"/>
      <c r="F19" s="21"/>
      <c r="G19" s="21"/>
      <c r="H19" s="20"/>
      <c r="I19" s="21"/>
      <c r="J19" s="21"/>
      <c r="K19" s="20"/>
      <c r="L19" s="21"/>
      <c r="M19" s="22"/>
      <c r="N19" s="20" t="str">
        <f ca="1">IFERROR(__xludf.DUMMYFUNCTION("""COMPUTED_VALUE"""),"399 Los Alt")</f>
        <v>399 Los Alt</v>
      </c>
      <c r="O19" s="22"/>
      <c r="P19" s="20"/>
      <c r="Q19" s="21"/>
      <c r="R19" s="21"/>
      <c r="S19" s="21"/>
      <c r="T19" s="12"/>
      <c r="U19" s="12"/>
    </row>
    <row r="20" spans="1:21" ht="15.75" customHeight="1">
      <c r="A20" s="13">
        <f ca="1">IFERROR(__xludf.DUMMYFUNCTION("""COMPUTED_VALUE"""),3)</f>
        <v>3</v>
      </c>
      <c r="B20" s="20" t="str">
        <f ca="1">IFERROR(__xludf.DUMMYFUNCTION("""COMPUTED_VALUE"""),"188 HTL Wie")</f>
        <v>188 HTL Wie</v>
      </c>
      <c r="C20" s="21"/>
      <c r="D20" s="22"/>
      <c r="E20" s="23" t="str">
        <f ca="1">IFERROR(__xludf.DUMMYFUNCTION("""COMPUTED_VALUE"""),"Game 15")</f>
        <v>Game 15</v>
      </c>
      <c r="F20" s="24"/>
      <c r="G20" s="24"/>
      <c r="H20" s="20"/>
      <c r="I20" s="21"/>
      <c r="J20" s="21"/>
      <c r="K20" s="20"/>
      <c r="L20" s="21"/>
      <c r="M20" s="22"/>
      <c r="N20" s="20"/>
      <c r="O20" s="22"/>
      <c r="P20" s="20"/>
      <c r="Q20" s="21"/>
      <c r="R20" s="21"/>
      <c r="S20" s="21"/>
      <c r="T20" s="12"/>
      <c r="U20" s="12"/>
    </row>
    <row r="21" spans="1:21" ht="15.75" customHeight="1">
      <c r="A21" s="13">
        <f ca="1">IFERROR(__xludf.DUMMYFUNCTION("""COMPUTED_VALUE"""),14)</f>
        <v>14</v>
      </c>
      <c r="B21" s="27" t="str">
        <f ca="1">IFERROR(__xludf.DUMMYFUNCTION("""COMPUTED_VALUE"""),"Bye")</f>
        <v>Bye</v>
      </c>
      <c r="C21" s="24"/>
      <c r="D21" s="26"/>
      <c r="E21" s="20" t="str">
        <f ca="1">IFERROR(__xludf.DUMMYFUNCTION("""COMPUTED_VALUE"""),"188 HTL Wie")</f>
        <v>188 HTL Wie</v>
      </c>
      <c r="F21" s="21"/>
      <c r="G21" s="22"/>
      <c r="H21" s="20"/>
      <c r="I21" s="21"/>
      <c r="J21" s="21"/>
      <c r="K21" s="20"/>
      <c r="L21" s="21"/>
      <c r="M21" s="22"/>
      <c r="N21" s="20"/>
      <c r="O21" s="22"/>
      <c r="P21" s="20"/>
      <c r="Q21" s="21"/>
      <c r="R21" s="21"/>
      <c r="S21" s="21"/>
      <c r="T21" s="12"/>
      <c r="U21" s="12"/>
    </row>
    <row r="22" spans="1:21" ht="15.75" customHeight="1">
      <c r="A22" s="12"/>
      <c r="B22" s="20"/>
      <c r="C22" s="21"/>
      <c r="D22" s="21"/>
      <c r="E22" s="20"/>
      <c r="F22" s="21"/>
      <c r="G22" s="22"/>
      <c r="H22" s="23" t="str">
        <f ca="1">IFERROR(__xludf.DUMMYFUNCTION("""COMPUTED_VALUE"""),"Game 22")</f>
        <v>Game 22</v>
      </c>
      <c r="I22" s="24"/>
      <c r="J22" s="24"/>
      <c r="K22" s="20"/>
      <c r="L22" s="21"/>
      <c r="M22" s="22"/>
      <c r="N22" s="20"/>
      <c r="O22" s="22"/>
      <c r="P22" s="20"/>
      <c r="Q22" s="21"/>
      <c r="R22" s="21"/>
      <c r="S22" s="21"/>
      <c r="T22" s="12"/>
      <c r="U22" s="12"/>
    </row>
    <row r="23" spans="1:21" ht="14.4">
      <c r="A23" s="12"/>
      <c r="B23" s="23" t="str">
        <f ca="1">IFERROR(__xludf.DUMMYFUNCTION("""COMPUTED_VALUE"""),"Game 6")</f>
        <v>Game 6</v>
      </c>
      <c r="C23" s="24"/>
      <c r="D23" s="24"/>
      <c r="E23" s="20"/>
      <c r="F23" s="21"/>
      <c r="G23" s="22"/>
      <c r="H23" s="20" t="str">
        <f ca="1">IFERROR(__xludf.DUMMYFUNCTION("""COMPUTED_VALUE"""),"188 HTL Wie")</f>
        <v>188 HTL Wie</v>
      </c>
      <c r="I23" s="21"/>
      <c r="J23" s="22"/>
      <c r="K23" s="20"/>
      <c r="L23" s="21"/>
      <c r="M23" s="22"/>
      <c r="N23" s="20"/>
      <c r="O23" s="22"/>
      <c r="P23" s="20"/>
      <c r="Q23" s="21"/>
      <c r="R23" s="21"/>
      <c r="S23" s="21"/>
      <c r="T23" s="12"/>
      <c r="U23" s="12"/>
    </row>
    <row r="24" spans="1:21" ht="14.4">
      <c r="A24" s="13">
        <f ca="1">IFERROR(__xludf.DUMMYFUNCTION("""COMPUTED_VALUE"""),6)</f>
        <v>6</v>
      </c>
      <c r="B24" s="20" t="str">
        <f ca="1">IFERROR(__xludf.DUMMYFUNCTION("""COMPUTED_VALUE"""),"665 PUI CHI")</f>
        <v>665 PUI CHI</v>
      </c>
      <c r="C24" s="21"/>
      <c r="D24" s="22"/>
      <c r="E24" s="25" t="str">
        <f ca="1">IFERROR(__xludf.DUMMYFUNCTION("""COMPUTED_VALUE"""),"665 PUI CHI")</f>
        <v>665 PUI CHI</v>
      </c>
      <c r="F24" s="24"/>
      <c r="G24" s="26"/>
      <c r="H24" s="20"/>
      <c r="I24" s="21"/>
      <c r="J24" s="22"/>
      <c r="K24" s="20"/>
      <c r="L24" s="21"/>
      <c r="M24" s="22"/>
      <c r="N24" s="20"/>
      <c r="O24" s="22"/>
      <c r="P24" s="20"/>
      <c r="Q24" s="21"/>
      <c r="R24" s="21"/>
      <c r="S24" s="21"/>
      <c r="T24" s="20"/>
      <c r="U24" s="21"/>
    </row>
    <row r="25" spans="1:21" ht="14.4">
      <c r="A25" s="13">
        <f ca="1">IFERROR(__xludf.DUMMYFUNCTION("""COMPUTED_VALUE"""),11)</f>
        <v>11</v>
      </c>
      <c r="B25" s="25" t="str">
        <f ca="1">IFERROR(__xludf.DUMMYFUNCTION("""COMPUTED_VALUE"""),"623 HTL Wie")</f>
        <v>623 HTL Wie</v>
      </c>
      <c r="C25" s="24"/>
      <c r="D25" s="26"/>
      <c r="E25" s="20"/>
      <c r="F25" s="21"/>
      <c r="G25" s="21"/>
      <c r="H25" s="20"/>
      <c r="I25" s="21"/>
      <c r="J25" s="22"/>
      <c r="K25" s="20"/>
      <c r="L25" s="21"/>
      <c r="M25" s="22"/>
      <c r="N25" s="20"/>
      <c r="O25" s="22"/>
      <c r="P25" s="20"/>
      <c r="Q25" s="21"/>
      <c r="R25" s="21"/>
      <c r="S25" s="21"/>
      <c r="T25" s="20"/>
      <c r="U25" s="21"/>
    </row>
    <row r="26" spans="1:21" ht="14.4">
      <c r="A26" s="12"/>
      <c r="B26" s="20"/>
      <c r="C26" s="21"/>
      <c r="D26" s="21"/>
      <c r="E26" s="20"/>
      <c r="F26" s="21"/>
      <c r="G26" s="21"/>
      <c r="H26" s="20"/>
      <c r="I26" s="21"/>
      <c r="J26" s="22"/>
      <c r="K26" s="25" t="str">
        <f ca="1">IFERROR(__xludf.DUMMYFUNCTION("""COMPUTED_VALUE"""),"399 Los Alt")</f>
        <v>399 Los Alt</v>
      </c>
      <c r="L26" s="24"/>
      <c r="M26" s="26"/>
      <c r="N26" s="20"/>
      <c r="O26" s="22"/>
      <c r="P26" s="20"/>
      <c r="Q26" s="21"/>
      <c r="R26" s="21"/>
      <c r="S26" s="21"/>
      <c r="T26" s="20"/>
      <c r="U26" s="21"/>
    </row>
    <row r="27" spans="1:21" ht="14.4">
      <c r="A27" s="12"/>
      <c r="B27" s="23" t="str">
        <f ca="1">IFERROR(__xludf.DUMMYFUNCTION("""COMPUTED_VALUE"""),"Game 7")</f>
        <v>Game 7</v>
      </c>
      <c r="C27" s="24"/>
      <c r="D27" s="24"/>
      <c r="E27" s="20"/>
      <c r="F27" s="21"/>
      <c r="G27" s="21"/>
      <c r="H27" s="20"/>
      <c r="I27" s="21"/>
      <c r="J27" s="22"/>
      <c r="K27" s="20"/>
      <c r="L27" s="21"/>
      <c r="M27" s="21"/>
      <c r="N27" s="20"/>
      <c r="O27" s="22"/>
      <c r="P27" s="20"/>
      <c r="Q27" s="21"/>
      <c r="R27" s="21"/>
      <c r="S27" s="21"/>
      <c r="T27" s="20"/>
      <c r="U27" s="21"/>
    </row>
    <row r="28" spans="1:21" ht="14.4">
      <c r="A28" s="13">
        <f ca="1">IFERROR(__xludf.DUMMYFUNCTION("""COMPUTED_VALUE"""),7)</f>
        <v>7</v>
      </c>
      <c r="B28" s="20" t="str">
        <f ca="1">IFERROR(__xludf.DUMMYFUNCTION("""COMPUTED_VALUE"""),"663 Beansta")</f>
        <v>663 Beansta</v>
      </c>
      <c r="C28" s="21"/>
      <c r="D28" s="22"/>
      <c r="E28" s="23" t="str">
        <f ca="1">IFERROR(__xludf.DUMMYFUNCTION("""COMPUTED_VALUE"""),"Game 16")</f>
        <v>Game 16</v>
      </c>
      <c r="F28" s="24"/>
      <c r="G28" s="24"/>
      <c r="H28" s="20"/>
      <c r="I28" s="21"/>
      <c r="J28" s="22"/>
      <c r="K28" s="20"/>
      <c r="L28" s="21"/>
      <c r="M28" s="21"/>
      <c r="N28" s="20"/>
      <c r="O28" s="22"/>
      <c r="P28" s="23" t="str">
        <f ca="1">IFERROR(__xludf.DUMMYFUNCTION("""COMPUTED_VALUE"""),"Game 31")</f>
        <v>Game 31</v>
      </c>
      <c r="Q28" s="24"/>
      <c r="R28" s="24"/>
      <c r="S28" s="12"/>
      <c r="T28" s="12"/>
      <c r="U28" s="12"/>
    </row>
    <row r="29" spans="1:21" ht="14.4">
      <c r="A29" s="13">
        <f ca="1">IFERROR(__xludf.DUMMYFUNCTION("""COMPUTED_VALUE"""),10)</f>
        <v>10</v>
      </c>
      <c r="B29" s="25" t="str">
        <f ca="1">IFERROR(__xludf.DUMMYFUNCTION("""COMPUTED_VALUE"""),"468 Noble H")</f>
        <v>468 Noble H</v>
      </c>
      <c r="C29" s="24"/>
      <c r="D29" s="26"/>
      <c r="E29" s="20" t="str">
        <f ca="1">IFERROR(__xludf.DUMMYFUNCTION("""COMPUTED_VALUE"""),"663 Beansta")</f>
        <v>663 Beansta</v>
      </c>
      <c r="F29" s="21"/>
      <c r="G29" s="22"/>
      <c r="H29" s="20"/>
      <c r="I29" s="21"/>
      <c r="J29" s="22"/>
      <c r="K29" s="20"/>
      <c r="L29" s="21"/>
      <c r="M29" s="21"/>
      <c r="N29" s="20"/>
      <c r="O29" s="22"/>
      <c r="P29" s="12"/>
      <c r="Q29" s="20" t="str">
        <f ca="1">IFERROR(__xludf.DUMMYFUNCTION("""COMPUTED_VALUE"""),"399 Los Alt")</f>
        <v>399 Los Alt</v>
      </c>
      <c r="R29" s="22"/>
      <c r="S29" s="12"/>
      <c r="T29" s="12"/>
      <c r="U29" s="12"/>
    </row>
    <row r="30" spans="1:21" ht="14.4">
      <c r="A30" s="12"/>
      <c r="B30" s="20"/>
      <c r="C30" s="21"/>
      <c r="D30" s="21"/>
      <c r="E30" s="20"/>
      <c r="F30" s="21"/>
      <c r="G30" s="22"/>
      <c r="H30" s="25" t="str">
        <f ca="1">IFERROR(__xludf.DUMMYFUNCTION("""COMPUTED_VALUE"""),"399 Los Alt")</f>
        <v>399 Los Alt</v>
      </c>
      <c r="I30" s="24"/>
      <c r="J30" s="26"/>
      <c r="K30" s="20"/>
      <c r="L30" s="21"/>
      <c r="M30" s="21"/>
      <c r="N30" s="20"/>
      <c r="O30" s="22"/>
      <c r="P30" s="12"/>
      <c r="Q30" s="20"/>
      <c r="R30" s="22"/>
      <c r="S30" s="12"/>
      <c r="T30" s="12"/>
      <c r="U30" s="12"/>
    </row>
    <row r="31" spans="1:21" ht="14.4">
      <c r="A31" s="12"/>
      <c r="B31" s="23" t="str">
        <f ca="1">IFERROR(__xludf.DUMMYFUNCTION("""COMPUTED_VALUE"""),"Game 8")</f>
        <v>Game 8</v>
      </c>
      <c r="C31" s="24"/>
      <c r="D31" s="24"/>
      <c r="E31" s="20"/>
      <c r="F31" s="21"/>
      <c r="G31" s="22"/>
      <c r="H31" s="20"/>
      <c r="I31" s="21"/>
      <c r="J31" s="21"/>
      <c r="K31" s="20"/>
      <c r="L31" s="21"/>
      <c r="M31" s="21"/>
      <c r="N31" s="20"/>
      <c r="O31" s="22"/>
      <c r="P31" s="12"/>
      <c r="Q31" s="20"/>
      <c r="R31" s="22"/>
      <c r="S31" s="25" t="str">
        <f ca="1">IFERROR(__xludf.DUMMYFUNCTION("""COMPUTED_VALUE"""),"399 Los Alt")</f>
        <v>399 Los Alt</v>
      </c>
      <c r="T31" s="24"/>
      <c r="U31" s="24"/>
    </row>
    <row r="32" spans="1:21" ht="14.4">
      <c r="A32" s="13">
        <f ca="1">IFERROR(__xludf.DUMMYFUNCTION("""COMPUTED_VALUE"""),2)</f>
        <v>2</v>
      </c>
      <c r="B32" s="20" t="str">
        <f ca="1">IFERROR(__xludf.DUMMYFUNCTION("""COMPUTED_VALUE"""),"399 Los Alt")</f>
        <v>399 Los Alt</v>
      </c>
      <c r="C32" s="21"/>
      <c r="D32" s="22"/>
      <c r="E32" s="25" t="str">
        <f ca="1">IFERROR(__xludf.DUMMYFUNCTION("""COMPUTED_VALUE"""),"399 Los Alt")</f>
        <v>399 Los Alt</v>
      </c>
      <c r="F32" s="24"/>
      <c r="G32" s="26"/>
      <c r="H32" s="20"/>
      <c r="I32" s="21"/>
      <c r="J32" s="21"/>
      <c r="K32" s="20"/>
      <c r="L32" s="21"/>
      <c r="M32" s="21"/>
      <c r="N32" s="20"/>
      <c r="O32" s="22"/>
      <c r="P32" s="12"/>
      <c r="Q32" s="20"/>
      <c r="R32" s="22"/>
      <c r="S32" s="12"/>
      <c r="T32" s="12"/>
      <c r="U32" s="12"/>
    </row>
    <row r="33" spans="1:21" ht="14.4">
      <c r="A33" s="13">
        <f ca="1">IFERROR(__xludf.DUMMYFUNCTION("""COMPUTED_VALUE"""),15)</f>
        <v>15</v>
      </c>
      <c r="B33" s="27" t="str">
        <f ca="1">IFERROR(__xludf.DUMMYFUNCTION("""COMPUTED_VALUE"""),"Bye")</f>
        <v>Bye</v>
      </c>
      <c r="C33" s="24"/>
      <c r="D33" s="26"/>
      <c r="E33" s="20"/>
      <c r="F33" s="21"/>
      <c r="G33" s="21"/>
      <c r="H33" s="20"/>
      <c r="I33" s="21"/>
      <c r="J33" s="21"/>
      <c r="K33" s="20"/>
      <c r="L33" s="21"/>
      <c r="M33" s="21"/>
      <c r="N33" s="20"/>
      <c r="O33" s="22"/>
      <c r="P33" s="12"/>
      <c r="Q33" s="20"/>
      <c r="R33" s="22"/>
      <c r="S33" s="12"/>
      <c r="T33" s="12"/>
      <c r="U33" s="12"/>
    </row>
    <row r="34" spans="1:21" ht="14.4">
      <c r="A34" s="14"/>
      <c r="B34" s="31"/>
      <c r="C34" s="32"/>
      <c r="D34" s="32"/>
      <c r="E34" s="31"/>
      <c r="F34" s="32"/>
      <c r="G34" s="32"/>
      <c r="H34" s="31"/>
      <c r="I34" s="32"/>
      <c r="J34" s="32"/>
      <c r="K34" s="31"/>
      <c r="L34" s="32"/>
      <c r="M34" s="32"/>
      <c r="N34" s="14"/>
      <c r="O34" s="15"/>
      <c r="P34" s="12"/>
      <c r="Q34" s="25" t="str">
        <f ca="1">IFERROR(__xludf.DUMMYFUNCTION("""COMPUTED_VALUE"""),"")</f>
        <v/>
      </c>
      <c r="R34" s="26"/>
      <c r="S34" s="12"/>
      <c r="T34" s="12"/>
      <c r="U34" s="12"/>
    </row>
    <row r="35" spans="1:21" ht="14.4">
      <c r="A35" s="12"/>
      <c r="B35" s="28" t="str">
        <f ca="1">IFERROR(__xludf.DUMMYFUNCTION("""COMPUTED_VALUE"""),"Artemis Consolation Bracket")</f>
        <v>Artemis Consolation Bracket</v>
      </c>
      <c r="C35" s="21"/>
      <c r="D35" s="21"/>
      <c r="E35" s="21"/>
      <c r="F35" s="21"/>
      <c r="G35" s="21"/>
      <c r="H35" s="20"/>
      <c r="I35" s="21"/>
      <c r="J35" s="20"/>
      <c r="K35" s="21"/>
      <c r="L35" s="23" t="str">
        <f ca="1">IFERROR(__xludf.DUMMYFUNCTION("""COMPUTED_VALUE"""),"Game 29")</f>
        <v>Game 29</v>
      </c>
      <c r="M35" s="24"/>
      <c r="N35" s="12"/>
      <c r="O35" s="16"/>
      <c r="P35" s="12"/>
      <c r="Q35" s="12"/>
      <c r="R35" s="12"/>
      <c r="S35" s="12"/>
      <c r="T35" s="12"/>
      <c r="U35" s="12"/>
    </row>
    <row r="36" spans="1:21" ht="14.4">
      <c r="A36" s="12"/>
      <c r="B36" s="21"/>
      <c r="C36" s="21"/>
      <c r="D36" s="21"/>
      <c r="E36" s="21"/>
      <c r="F36" s="21"/>
      <c r="G36" s="21"/>
      <c r="H36" s="20"/>
      <c r="I36" s="21"/>
      <c r="J36" s="20"/>
      <c r="K36" s="21"/>
      <c r="L36" s="20" t="str">
        <f ca="1">IFERROR(__xludf.DUMMYFUNCTION("""COMPUTED_VALUE"""),"606 HTL Wie")</f>
        <v>606 HTL Wie</v>
      </c>
      <c r="M36" s="22"/>
      <c r="N36" s="12"/>
      <c r="O36" s="16"/>
      <c r="P36" s="12"/>
      <c r="Q36" s="12"/>
      <c r="R36" s="12"/>
      <c r="S36" s="12"/>
      <c r="T36" s="12"/>
      <c r="U36" s="12"/>
    </row>
    <row r="37" spans="1:21" ht="14.4">
      <c r="A37" s="12"/>
      <c r="B37" s="20"/>
      <c r="C37" s="21"/>
      <c r="D37" s="20"/>
      <c r="E37" s="21"/>
      <c r="F37" s="20"/>
      <c r="G37" s="21"/>
      <c r="H37" s="33" t="str">
        <f ca="1">IFERROR(__xludf.DUMMYFUNCTION("""COMPUTED_VALUE"""),"Game 25")</f>
        <v>Game 25</v>
      </c>
      <c r="I37" s="24"/>
      <c r="J37" s="20"/>
      <c r="K37" s="21"/>
      <c r="L37" s="20"/>
      <c r="M37" s="22"/>
      <c r="N37" s="12"/>
      <c r="O37" s="16"/>
      <c r="P37" s="12"/>
      <c r="Q37" s="12"/>
      <c r="R37" s="12"/>
      <c r="S37" s="12"/>
      <c r="T37" s="12"/>
      <c r="U37" s="12"/>
    </row>
    <row r="38" spans="1:21" ht="14.4">
      <c r="A38" s="12"/>
      <c r="B38" s="20"/>
      <c r="C38" s="21"/>
      <c r="D38" s="23" t="str">
        <f ca="1">IFERROR(__xludf.DUMMYFUNCTION("""COMPUTED_VALUE"""),"Game 17")</f>
        <v>Game 17</v>
      </c>
      <c r="E38" s="24"/>
      <c r="F38" s="20"/>
      <c r="G38" s="21"/>
      <c r="H38" s="20" t="str">
        <f ca="1">IFERROR(__xludf.DUMMYFUNCTION("""COMPUTED_VALUE"""),"635 HTL St.")</f>
        <v>635 HTL St.</v>
      </c>
      <c r="I38" s="22"/>
      <c r="J38" s="20"/>
      <c r="K38" s="21"/>
      <c r="L38" s="20"/>
      <c r="M38" s="22"/>
      <c r="N38" s="12"/>
      <c r="O38" s="16"/>
      <c r="P38" s="12"/>
      <c r="Q38" s="12"/>
      <c r="R38" s="12"/>
      <c r="S38" s="12"/>
      <c r="T38" s="20"/>
      <c r="U38" s="21"/>
    </row>
    <row r="39" spans="1:21" ht="14.4">
      <c r="A39" s="12"/>
      <c r="B39" s="23" t="str">
        <f ca="1">IFERROR(__xludf.DUMMYFUNCTION("""COMPUTED_VALUE"""),"Game 9")</f>
        <v>Game 9</v>
      </c>
      <c r="C39" s="24"/>
      <c r="D39" s="20" t="str">
        <f ca="1">IFERROR(__xludf.DUMMYFUNCTION("""COMPUTED_VALUE"""),"663 Beansta")</f>
        <v>663 Beansta</v>
      </c>
      <c r="E39" s="22"/>
      <c r="F39" s="23" t="str">
        <f ca="1">IFERROR(__xludf.DUMMYFUNCTION("""COMPUTED_VALUE"""),"Game 23")</f>
        <v>Game 23</v>
      </c>
      <c r="G39" s="24"/>
      <c r="H39" s="20"/>
      <c r="I39" s="22"/>
      <c r="J39" s="23" t="str">
        <f ca="1">IFERROR(__xludf.DUMMYFUNCTION("""COMPUTED_VALUE"""),"Game 28")</f>
        <v>Game 28</v>
      </c>
      <c r="K39" s="24"/>
      <c r="L39" s="20"/>
      <c r="M39" s="22"/>
      <c r="N39" s="25" t="str">
        <f ca="1">IFERROR(__xludf.DUMMYFUNCTION("""COMPUTED_VALUE"""),"606 HTL Wie")</f>
        <v>606 HTL Wie</v>
      </c>
      <c r="O39" s="26"/>
      <c r="P39" s="12"/>
      <c r="Q39" s="12"/>
      <c r="R39" s="12"/>
      <c r="S39" s="12"/>
      <c r="T39" s="20"/>
      <c r="U39" s="21"/>
    </row>
    <row r="40" spans="1:21" ht="14.4">
      <c r="A40" s="12"/>
      <c r="B40" s="20" t="str">
        <f ca="1">IFERROR(__xludf.DUMMYFUNCTION("""COMPUTED_VALUE"""),"Bye")</f>
        <v>Bye</v>
      </c>
      <c r="C40" s="22"/>
      <c r="D40" s="25" t="str">
        <f ca="1">IFERROR(__xludf.DUMMYFUNCTION("""COMPUTED_VALUE"""),"927 Radiant")</f>
        <v>927 Radiant</v>
      </c>
      <c r="E40" s="26"/>
      <c r="F40" s="20" t="str">
        <f ca="1">IFERROR(__xludf.DUMMYFUNCTION("""COMPUTED_VALUE"""),"663 Beansta")</f>
        <v>663 Beansta</v>
      </c>
      <c r="G40" s="22"/>
      <c r="H40" s="20"/>
      <c r="I40" s="22"/>
      <c r="J40" s="20" t="str">
        <f ca="1">IFERROR(__xludf.DUMMYFUNCTION("""COMPUTED_VALUE"""),"635 HTL St.")</f>
        <v>635 HTL St.</v>
      </c>
      <c r="K40" s="22"/>
      <c r="L40" s="20"/>
      <c r="M40" s="22"/>
      <c r="N40" s="12"/>
      <c r="O40" s="12"/>
      <c r="P40" s="12"/>
      <c r="Q40" s="20"/>
      <c r="R40" s="21"/>
      <c r="S40" s="21"/>
      <c r="T40" s="20"/>
      <c r="U40" s="21"/>
    </row>
    <row r="41" spans="1:21" ht="14.4">
      <c r="A41" s="12"/>
      <c r="B41" s="25" t="str">
        <f ca="1">IFERROR(__xludf.DUMMYFUNCTION("""COMPUTED_VALUE"""),"927 Radiant")</f>
        <v>927 Radiant</v>
      </c>
      <c r="C41" s="26"/>
      <c r="D41" s="20"/>
      <c r="E41" s="21"/>
      <c r="F41" s="20"/>
      <c r="G41" s="22"/>
      <c r="H41" s="25" t="str">
        <f ca="1">IFERROR(__xludf.DUMMYFUNCTION("""COMPUTED_VALUE"""),"663 Beansta")</f>
        <v>663 Beansta</v>
      </c>
      <c r="I41" s="26"/>
      <c r="J41" s="20"/>
      <c r="K41" s="22"/>
      <c r="L41" s="20"/>
      <c r="M41" s="22"/>
      <c r="N41" s="12"/>
      <c r="O41" s="20"/>
      <c r="P41" s="21"/>
      <c r="Q41" s="20"/>
      <c r="R41" s="21"/>
      <c r="S41" s="21"/>
      <c r="T41" s="20"/>
      <c r="U41" s="21"/>
    </row>
    <row r="42" spans="1:21" ht="14.4">
      <c r="A42" s="12"/>
      <c r="B42" s="20"/>
      <c r="C42" s="21"/>
      <c r="D42" s="23" t="str">
        <f ca="1">IFERROR(__xludf.DUMMYFUNCTION("""COMPUTED_VALUE"""),"Game 18")</f>
        <v>Game 18</v>
      </c>
      <c r="E42" s="24"/>
      <c r="F42" s="20"/>
      <c r="G42" s="22"/>
      <c r="H42" s="20"/>
      <c r="I42" s="21"/>
      <c r="J42" s="20"/>
      <c r="K42" s="22"/>
      <c r="L42" s="20"/>
      <c r="M42" s="22"/>
      <c r="N42" s="12"/>
      <c r="O42" s="20"/>
      <c r="P42" s="21"/>
      <c r="Q42" s="20"/>
      <c r="R42" s="21"/>
      <c r="S42" s="21"/>
      <c r="T42" s="20"/>
      <c r="U42" s="21"/>
    </row>
    <row r="43" spans="1:21" ht="14.4">
      <c r="A43" s="12"/>
      <c r="B43" s="23" t="str">
        <f ca="1">IFERROR(__xludf.DUMMYFUNCTION("""COMPUTED_VALUE"""),"Game 10")</f>
        <v>Game 10</v>
      </c>
      <c r="C43" s="24"/>
      <c r="D43" s="20" t="str">
        <f ca="1">IFERROR(__xludf.DUMMYFUNCTION("""COMPUTED_VALUE"""),"665 PUI CHI")</f>
        <v>665 PUI CHI</v>
      </c>
      <c r="E43" s="22"/>
      <c r="F43" s="25" t="str">
        <f ca="1">IFERROR(__xludf.DUMMYFUNCTION("""COMPUTED_VALUE"""),"453 Los Alt")</f>
        <v>453 Los Alt</v>
      </c>
      <c r="G43" s="26"/>
      <c r="H43" s="20"/>
      <c r="I43" s="21"/>
      <c r="J43" s="20"/>
      <c r="K43" s="22"/>
      <c r="L43" s="25" t="str">
        <f ca="1">IFERROR(__xludf.DUMMYFUNCTION("""COMPUTED_VALUE"""),"188 HTL Wie")</f>
        <v>188 HTL Wie</v>
      </c>
      <c r="M43" s="26"/>
      <c r="N43" s="12"/>
      <c r="O43" s="20"/>
      <c r="P43" s="21"/>
      <c r="Q43" s="20"/>
      <c r="R43" s="21"/>
      <c r="S43" s="21"/>
      <c r="T43" s="20"/>
      <c r="U43" s="21"/>
    </row>
    <row r="44" spans="1:21" ht="14.4">
      <c r="A44" s="12"/>
      <c r="B44" s="20" t="str">
        <f ca="1">IFERROR(__xludf.DUMMYFUNCTION("""COMPUTED_VALUE"""),"840 Westche")</f>
        <v>840 Westche</v>
      </c>
      <c r="C44" s="22"/>
      <c r="D44" s="25" t="str">
        <f ca="1">IFERROR(__xludf.DUMMYFUNCTION("""COMPUTED_VALUE"""),"453 Los Alt")</f>
        <v>453 Los Alt</v>
      </c>
      <c r="E44" s="26"/>
      <c r="F44" s="20"/>
      <c r="G44" s="21"/>
      <c r="H44" s="20"/>
      <c r="I44" s="21"/>
      <c r="J44" s="20"/>
      <c r="K44" s="22"/>
      <c r="L44" s="20"/>
      <c r="M44" s="21"/>
      <c r="N44" s="12"/>
      <c r="O44" s="20"/>
      <c r="P44" s="21"/>
      <c r="Q44" s="20"/>
      <c r="R44" s="21"/>
      <c r="S44" s="21"/>
      <c r="T44" s="20"/>
      <c r="U44" s="21"/>
    </row>
    <row r="45" spans="1:21" ht="14.4">
      <c r="A45" s="12"/>
      <c r="B45" s="25" t="str">
        <f ca="1">IFERROR(__xludf.DUMMYFUNCTION("""COMPUTED_VALUE"""),"453 Los Alt")</f>
        <v>453 Los Alt</v>
      </c>
      <c r="C45" s="26"/>
      <c r="D45" s="20"/>
      <c r="E45" s="21"/>
      <c r="F45" s="20"/>
      <c r="G45" s="21"/>
      <c r="H45" s="33" t="str">
        <f ca="1">IFERROR(__xludf.DUMMYFUNCTION("""COMPUTED_VALUE"""),"Game 26")</f>
        <v>Game 26</v>
      </c>
      <c r="I45" s="24"/>
      <c r="J45" s="20"/>
      <c r="K45" s="22"/>
      <c r="L45" s="20"/>
      <c r="M45" s="21"/>
      <c r="N45" s="12"/>
      <c r="O45" s="20"/>
      <c r="P45" s="21"/>
      <c r="Q45" s="20"/>
      <c r="R45" s="21"/>
      <c r="S45" s="21"/>
      <c r="T45" s="20"/>
      <c r="U45" s="21"/>
    </row>
    <row r="46" spans="1:21" ht="14.4">
      <c r="A46" s="12"/>
      <c r="B46" s="20"/>
      <c r="C46" s="21"/>
      <c r="D46" s="23" t="str">
        <f ca="1">IFERROR(__xludf.DUMMYFUNCTION("""COMPUTED_VALUE"""),"Game 19")</f>
        <v>Game 19</v>
      </c>
      <c r="E46" s="24"/>
      <c r="F46" s="20"/>
      <c r="G46" s="21"/>
      <c r="H46" s="20" t="str">
        <f ca="1">IFERROR(__xludf.DUMMYFUNCTION("""COMPUTED_VALUE"""),"188 HTL Wie")</f>
        <v>188 HTL Wie</v>
      </c>
      <c r="I46" s="22"/>
      <c r="J46" s="20"/>
      <c r="K46" s="22"/>
      <c r="L46" s="20"/>
      <c r="M46" s="21"/>
      <c r="N46" s="12"/>
      <c r="O46" s="20"/>
      <c r="P46" s="21"/>
      <c r="Q46" s="20"/>
      <c r="R46" s="21"/>
      <c r="S46" s="21"/>
      <c r="T46" s="20"/>
      <c r="U46" s="21"/>
    </row>
    <row r="47" spans="1:21" ht="14.4">
      <c r="A47" s="12"/>
      <c r="B47" s="23" t="str">
        <f ca="1">IFERROR(__xludf.DUMMYFUNCTION("""COMPUTED_VALUE"""),"Game 11")</f>
        <v>Game 11</v>
      </c>
      <c r="C47" s="24"/>
      <c r="D47" s="20" t="str">
        <f ca="1">IFERROR(__xludf.DUMMYFUNCTION("""COMPUTED_VALUE"""),"926 Radiant")</f>
        <v>926 Radiant</v>
      </c>
      <c r="E47" s="22"/>
      <c r="F47" s="23" t="str">
        <f ca="1">IFERROR(__xludf.DUMMYFUNCTION("""COMPUTED_VALUE"""),"Game 24")</f>
        <v>Game 24</v>
      </c>
      <c r="G47" s="24"/>
      <c r="H47" s="20"/>
      <c r="I47" s="22"/>
      <c r="J47" s="25" t="str">
        <f ca="1">IFERROR(__xludf.DUMMYFUNCTION("""COMPUTED_VALUE"""),"188 HTL Wie")</f>
        <v>188 HTL Wie</v>
      </c>
      <c r="K47" s="26"/>
      <c r="L47" s="20"/>
      <c r="M47" s="21"/>
      <c r="N47" s="12"/>
      <c r="O47" s="20"/>
      <c r="P47" s="21"/>
      <c r="Q47" s="20"/>
      <c r="R47" s="21"/>
      <c r="S47" s="21"/>
      <c r="T47" s="20"/>
      <c r="U47" s="21"/>
    </row>
    <row r="48" spans="1:21" ht="14.4">
      <c r="A48" s="12"/>
      <c r="B48" s="20" t="str">
        <f ca="1">IFERROR(__xludf.DUMMYFUNCTION("""COMPUTED_VALUE"""),"Bye")</f>
        <v>Bye</v>
      </c>
      <c r="C48" s="22"/>
      <c r="D48" s="25" t="str">
        <f ca="1">IFERROR(__xludf.DUMMYFUNCTION("""COMPUTED_VALUE"""),"623 HTL Wie")</f>
        <v>623 HTL Wie</v>
      </c>
      <c r="E48" s="26"/>
      <c r="F48" s="20" t="str">
        <f ca="1">IFERROR(__xludf.DUMMYFUNCTION("""COMPUTED_VALUE"""),"623 HTL Wie")</f>
        <v>623 HTL Wie</v>
      </c>
      <c r="G48" s="22"/>
      <c r="H48" s="20"/>
      <c r="I48" s="22"/>
      <c r="J48" s="20"/>
      <c r="K48" s="21"/>
      <c r="L48" s="20"/>
      <c r="M48" s="21"/>
      <c r="N48" s="12"/>
      <c r="O48" s="20"/>
      <c r="P48" s="21"/>
      <c r="Q48" s="20"/>
      <c r="R48" s="21"/>
      <c r="S48" s="21"/>
      <c r="T48" s="20"/>
      <c r="U48" s="21"/>
    </row>
    <row r="49" spans="1:21" ht="14.4">
      <c r="A49" s="12"/>
      <c r="B49" s="25" t="str">
        <f ca="1">IFERROR(__xludf.DUMMYFUNCTION("""COMPUTED_VALUE"""),"623 HTL Wie")</f>
        <v>623 HTL Wie</v>
      </c>
      <c r="C49" s="26"/>
      <c r="D49" s="20"/>
      <c r="E49" s="21"/>
      <c r="F49" s="20"/>
      <c r="G49" s="22"/>
      <c r="H49" s="25" t="str">
        <f ca="1">IFERROR(__xludf.DUMMYFUNCTION("""COMPUTED_VALUE"""),"623 HTL Wie")</f>
        <v>623 HTL Wie</v>
      </c>
      <c r="I49" s="26"/>
      <c r="J49" s="20"/>
      <c r="K49" s="21"/>
      <c r="L49" s="20"/>
      <c r="M49" s="21"/>
      <c r="N49" s="12"/>
      <c r="O49" s="20"/>
      <c r="P49" s="21"/>
      <c r="Q49" s="20"/>
      <c r="R49" s="21"/>
      <c r="S49" s="21"/>
      <c r="T49" s="20"/>
      <c r="U49" s="21"/>
    </row>
    <row r="50" spans="1:21" ht="14.4">
      <c r="A50" s="12"/>
      <c r="B50" s="20"/>
      <c r="C50" s="21"/>
      <c r="D50" s="23" t="str">
        <f ca="1">IFERROR(__xludf.DUMMYFUNCTION("""COMPUTED_VALUE"""),"Game 20")</f>
        <v>Game 20</v>
      </c>
      <c r="E50" s="24"/>
      <c r="F50" s="20"/>
      <c r="G50" s="22"/>
      <c r="H50" s="20"/>
      <c r="I50" s="21"/>
      <c r="J50" s="20"/>
      <c r="K50" s="21"/>
      <c r="L50" s="20"/>
      <c r="M50" s="21"/>
      <c r="N50" s="12"/>
      <c r="O50" s="20"/>
      <c r="P50" s="21"/>
      <c r="Q50" s="20"/>
      <c r="R50" s="21"/>
      <c r="S50" s="21"/>
      <c r="T50" s="20"/>
      <c r="U50" s="21"/>
    </row>
    <row r="51" spans="1:21" ht="14.4">
      <c r="A51" s="12"/>
      <c r="B51" s="23" t="str">
        <f ca="1">IFERROR(__xludf.DUMMYFUNCTION("""COMPUTED_VALUE"""),"Game 12")</f>
        <v>Game 12</v>
      </c>
      <c r="C51" s="24"/>
      <c r="D51" s="20" t="str">
        <f ca="1">IFERROR(__xludf.DUMMYFUNCTION("""COMPUTED_VALUE"""),"329 Los Alt")</f>
        <v>329 Los Alt</v>
      </c>
      <c r="E51" s="22"/>
      <c r="F51" s="25" t="str">
        <f ca="1">IFERROR(__xludf.DUMMYFUNCTION("""COMPUTED_VALUE"""),"329 Los Alt")</f>
        <v>329 Los Alt</v>
      </c>
      <c r="G51" s="26"/>
      <c r="H51" s="20"/>
      <c r="I51" s="21"/>
      <c r="J51" s="20"/>
      <c r="K51" s="21"/>
      <c r="L51" s="20"/>
      <c r="M51" s="21"/>
      <c r="N51" s="12"/>
      <c r="O51" s="20"/>
      <c r="P51" s="21"/>
      <c r="Q51" s="20"/>
      <c r="R51" s="21"/>
      <c r="S51" s="21"/>
      <c r="T51" s="20"/>
      <c r="U51" s="21"/>
    </row>
    <row r="52" spans="1:21" ht="14.4">
      <c r="A52" s="12"/>
      <c r="B52" s="20" t="str">
        <f ca="1">IFERROR(__xludf.DUMMYFUNCTION("""COMPUTED_VALUE"""),"468 Noble H")</f>
        <v>468 Noble H</v>
      </c>
      <c r="C52" s="22"/>
      <c r="D52" s="25" t="str">
        <f ca="1">IFERROR(__xludf.DUMMYFUNCTION("""COMPUTED_VALUE"""),"468 Noble H")</f>
        <v>468 Noble H</v>
      </c>
      <c r="E52" s="26"/>
      <c r="F52" s="20"/>
      <c r="G52" s="21"/>
      <c r="H52" s="20"/>
      <c r="I52" s="21"/>
      <c r="J52" s="20"/>
      <c r="K52" s="21"/>
      <c r="L52" s="20"/>
      <c r="M52" s="21"/>
      <c r="N52" s="12"/>
      <c r="O52" s="20"/>
      <c r="P52" s="21"/>
      <c r="Q52" s="20"/>
      <c r="R52" s="21"/>
      <c r="S52" s="21"/>
      <c r="T52" s="20"/>
      <c r="U52" s="21"/>
    </row>
    <row r="53" spans="1:21" ht="14.4">
      <c r="A53" s="12"/>
      <c r="B53" s="25" t="str">
        <f ca="1">IFERROR(__xludf.DUMMYFUNCTION("""COMPUTED_VALUE"""),"Bye")</f>
        <v>Bye</v>
      </c>
      <c r="C53" s="26"/>
      <c r="D53" s="20"/>
      <c r="E53" s="21"/>
      <c r="F53" s="20"/>
      <c r="G53" s="21"/>
      <c r="H53" s="20"/>
      <c r="I53" s="21"/>
      <c r="J53" s="20"/>
      <c r="K53" s="21"/>
      <c r="L53" s="20"/>
      <c r="M53" s="21"/>
      <c r="N53" s="12"/>
      <c r="O53" s="20"/>
      <c r="P53" s="21"/>
      <c r="Q53" s="20"/>
      <c r="R53" s="21"/>
      <c r="S53" s="21"/>
      <c r="T53" s="20"/>
      <c r="U53" s="21"/>
    </row>
    <row r="54" spans="1:21" ht="14.4">
      <c r="A54" s="12"/>
      <c r="B54" s="20"/>
      <c r="C54" s="21"/>
      <c r="D54" s="20"/>
      <c r="E54" s="21"/>
      <c r="F54" s="20"/>
      <c r="G54" s="21"/>
      <c r="H54" s="20"/>
      <c r="I54" s="21"/>
      <c r="J54" s="20"/>
      <c r="K54" s="21"/>
      <c r="L54" s="20"/>
      <c r="M54" s="21"/>
      <c r="N54" s="12"/>
      <c r="O54" s="20"/>
      <c r="P54" s="21"/>
      <c r="Q54" s="20"/>
      <c r="R54" s="21"/>
      <c r="S54" s="21"/>
      <c r="T54" s="20"/>
      <c r="U54" s="21"/>
    </row>
  </sheetData>
  <mergeCells count="360">
    <mergeCell ref="Q49:S49"/>
    <mergeCell ref="T49:U49"/>
    <mergeCell ref="B49:C49"/>
    <mergeCell ref="D49:E49"/>
    <mergeCell ref="F49:G49"/>
    <mergeCell ref="H49:I49"/>
    <mergeCell ref="J49:K49"/>
    <mergeCell ref="L49:M49"/>
    <mergeCell ref="O49:P49"/>
    <mergeCell ref="Q48:S48"/>
    <mergeCell ref="T48:U48"/>
    <mergeCell ref="B48:C48"/>
    <mergeCell ref="D48:E48"/>
    <mergeCell ref="F48:G48"/>
    <mergeCell ref="H48:I48"/>
    <mergeCell ref="J48:K48"/>
    <mergeCell ref="L48:M48"/>
    <mergeCell ref="O48:P48"/>
    <mergeCell ref="Q47:S47"/>
    <mergeCell ref="T47:U47"/>
    <mergeCell ref="B47:C47"/>
    <mergeCell ref="D47:E47"/>
    <mergeCell ref="F47:G47"/>
    <mergeCell ref="H47:I47"/>
    <mergeCell ref="J47:K47"/>
    <mergeCell ref="L47:M47"/>
    <mergeCell ref="O47:P47"/>
    <mergeCell ref="Q46:S46"/>
    <mergeCell ref="T46:U46"/>
    <mergeCell ref="B46:C46"/>
    <mergeCell ref="D46:E46"/>
    <mergeCell ref="F46:G46"/>
    <mergeCell ref="H46:I46"/>
    <mergeCell ref="J46:K46"/>
    <mergeCell ref="L46:M46"/>
    <mergeCell ref="O46:P46"/>
    <mergeCell ref="B44:C44"/>
    <mergeCell ref="D44:E44"/>
    <mergeCell ref="F44:G44"/>
    <mergeCell ref="H44:I44"/>
    <mergeCell ref="J44:K44"/>
    <mergeCell ref="L44:M44"/>
    <mergeCell ref="O44:P44"/>
    <mergeCell ref="Q45:S45"/>
    <mergeCell ref="T45:U45"/>
    <mergeCell ref="B45:C45"/>
    <mergeCell ref="D45:E45"/>
    <mergeCell ref="F45:G45"/>
    <mergeCell ref="H45:I45"/>
    <mergeCell ref="J45:K45"/>
    <mergeCell ref="L45:M45"/>
    <mergeCell ref="O45:P45"/>
    <mergeCell ref="Q54:S54"/>
    <mergeCell ref="T54:U54"/>
    <mergeCell ref="B54:C54"/>
    <mergeCell ref="D54:E54"/>
    <mergeCell ref="F54:G54"/>
    <mergeCell ref="H54:I54"/>
    <mergeCell ref="J54:K54"/>
    <mergeCell ref="L54:M54"/>
    <mergeCell ref="O54:P54"/>
    <mergeCell ref="T38:U38"/>
    <mergeCell ref="N39:O39"/>
    <mergeCell ref="T39:U39"/>
    <mergeCell ref="B38:C38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B37:C37"/>
    <mergeCell ref="D38:E38"/>
    <mergeCell ref="F38:G38"/>
    <mergeCell ref="H38:I38"/>
    <mergeCell ref="J38:K38"/>
    <mergeCell ref="L38:M38"/>
    <mergeCell ref="B34:D34"/>
    <mergeCell ref="E34:G34"/>
    <mergeCell ref="H34:J34"/>
    <mergeCell ref="K34:M34"/>
    <mergeCell ref="Q34:R34"/>
    <mergeCell ref="B35:G36"/>
    <mergeCell ref="H35:I35"/>
    <mergeCell ref="L36:M36"/>
    <mergeCell ref="H36:I36"/>
    <mergeCell ref="J36:K36"/>
    <mergeCell ref="Q53:S53"/>
    <mergeCell ref="T53:U53"/>
    <mergeCell ref="B53:C53"/>
    <mergeCell ref="D53:E53"/>
    <mergeCell ref="F53:G53"/>
    <mergeCell ref="H53:I53"/>
    <mergeCell ref="J53:K53"/>
    <mergeCell ref="L53:M53"/>
    <mergeCell ref="O53:P53"/>
    <mergeCell ref="Q52:S52"/>
    <mergeCell ref="T52:U52"/>
    <mergeCell ref="B52:C52"/>
    <mergeCell ref="D52:E52"/>
    <mergeCell ref="F52:G52"/>
    <mergeCell ref="H52:I52"/>
    <mergeCell ref="J52:K52"/>
    <mergeCell ref="L52:M52"/>
    <mergeCell ref="O52:P52"/>
    <mergeCell ref="Q51:S51"/>
    <mergeCell ref="T51:U51"/>
    <mergeCell ref="B51:C51"/>
    <mergeCell ref="D51:E51"/>
    <mergeCell ref="F51:G51"/>
    <mergeCell ref="H51:I51"/>
    <mergeCell ref="J51:K51"/>
    <mergeCell ref="L51:M51"/>
    <mergeCell ref="O51:P51"/>
    <mergeCell ref="L41:M41"/>
    <mergeCell ref="Q50:S50"/>
    <mergeCell ref="T50:U50"/>
    <mergeCell ref="B50:C50"/>
    <mergeCell ref="D50:E50"/>
    <mergeCell ref="F50:G50"/>
    <mergeCell ref="H50:I50"/>
    <mergeCell ref="J50:K50"/>
    <mergeCell ref="L50:M50"/>
    <mergeCell ref="O50:P50"/>
    <mergeCell ref="O41:P41"/>
    <mergeCell ref="Q41:S41"/>
    <mergeCell ref="T41:U41"/>
    <mergeCell ref="Q43:S43"/>
    <mergeCell ref="T43:U43"/>
    <mergeCell ref="B43:C43"/>
    <mergeCell ref="D43:E43"/>
    <mergeCell ref="F43:G43"/>
    <mergeCell ref="H43:I43"/>
    <mergeCell ref="J43:K43"/>
    <mergeCell ref="L43:M43"/>
    <mergeCell ref="O43:P43"/>
    <mergeCell ref="Q44:S44"/>
    <mergeCell ref="T44:U44"/>
    <mergeCell ref="J35:K35"/>
    <mergeCell ref="L35:M35"/>
    <mergeCell ref="Q42:S42"/>
    <mergeCell ref="T42:U42"/>
    <mergeCell ref="B42:C42"/>
    <mergeCell ref="D42:E42"/>
    <mergeCell ref="F42:G42"/>
    <mergeCell ref="H42:I42"/>
    <mergeCell ref="J42:K42"/>
    <mergeCell ref="L42:M42"/>
    <mergeCell ref="O42:P42"/>
    <mergeCell ref="D40:E40"/>
    <mergeCell ref="F40:G40"/>
    <mergeCell ref="H40:I40"/>
    <mergeCell ref="J40:K40"/>
    <mergeCell ref="L40:M40"/>
    <mergeCell ref="Q40:S40"/>
    <mergeCell ref="T40:U40"/>
    <mergeCell ref="B40:C40"/>
    <mergeCell ref="B41:C41"/>
    <mergeCell ref="D41:E41"/>
    <mergeCell ref="F41:G41"/>
    <mergeCell ref="H41:I41"/>
    <mergeCell ref="J41:K41"/>
    <mergeCell ref="B9:D9"/>
    <mergeCell ref="E9:G9"/>
    <mergeCell ref="H9:J9"/>
    <mergeCell ref="K9:M9"/>
    <mergeCell ref="N9:O9"/>
    <mergeCell ref="P9:S9"/>
    <mergeCell ref="E6:G6"/>
    <mergeCell ref="H6:J6"/>
    <mergeCell ref="B7:D7"/>
    <mergeCell ref="E7:G7"/>
    <mergeCell ref="H7:J7"/>
    <mergeCell ref="E8:G8"/>
    <mergeCell ref="H8:J8"/>
    <mergeCell ref="K6:M6"/>
    <mergeCell ref="N6:O6"/>
    <mergeCell ref="K7:M7"/>
    <mergeCell ref="N7:O7"/>
    <mergeCell ref="P7:S7"/>
    <mergeCell ref="K8:M8"/>
    <mergeCell ref="N8:O8"/>
    <mergeCell ref="P8:S8"/>
    <mergeCell ref="B5:D5"/>
    <mergeCell ref="E5:G5"/>
    <mergeCell ref="H5:J5"/>
    <mergeCell ref="K5:M5"/>
    <mergeCell ref="N5:O5"/>
    <mergeCell ref="P5:S5"/>
    <mergeCell ref="B6:D6"/>
    <mergeCell ref="P6:S6"/>
    <mergeCell ref="B8:D8"/>
    <mergeCell ref="B1:F2"/>
    <mergeCell ref="K2:L2"/>
    <mergeCell ref="E3:G3"/>
    <mergeCell ref="H3:J3"/>
    <mergeCell ref="K3:M3"/>
    <mergeCell ref="N3:O3"/>
    <mergeCell ref="P3:S3"/>
    <mergeCell ref="B3:D3"/>
    <mergeCell ref="B4:D4"/>
    <mergeCell ref="E4:G4"/>
    <mergeCell ref="H4:J4"/>
    <mergeCell ref="K4:M4"/>
    <mergeCell ref="N4:O4"/>
    <mergeCell ref="P4:S4"/>
    <mergeCell ref="E32:G32"/>
    <mergeCell ref="H32:J32"/>
    <mergeCell ref="K32:M32"/>
    <mergeCell ref="N32:O32"/>
    <mergeCell ref="Q32:R32"/>
    <mergeCell ref="B32:D32"/>
    <mergeCell ref="B33:D33"/>
    <mergeCell ref="E33:G33"/>
    <mergeCell ref="H33:J33"/>
    <mergeCell ref="K33:M33"/>
    <mergeCell ref="N33:O33"/>
    <mergeCell ref="Q33:R33"/>
    <mergeCell ref="E31:G31"/>
    <mergeCell ref="H31:J31"/>
    <mergeCell ref="Q31:R31"/>
    <mergeCell ref="S31:U31"/>
    <mergeCell ref="B30:D30"/>
    <mergeCell ref="E30:G30"/>
    <mergeCell ref="H30:J30"/>
    <mergeCell ref="K30:M30"/>
    <mergeCell ref="N30:O30"/>
    <mergeCell ref="Q30:R30"/>
    <mergeCell ref="B31:D31"/>
    <mergeCell ref="K31:M31"/>
    <mergeCell ref="N31:O31"/>
    <mergeCell ref="E28:G28"/>
    <mergeCell ref="H28:J28"/>
    <mergeCell ref="K28:M28"/>
    <mergeCell ref="N28:O28"/>
    <mergeCell ref="P28:R28"/>
    <mergeCell ref="B28:D28"/>
    <mergeCell ref="B29:D29"/>
    <mergeCell ref="E29:G29"/>
    <mergeCell ref="H29:J29"/>
    <mergeCell ref="K29:M29"/>
    <mergeCell ref="N29:O29"/>
    <mergeCell ref="Q29:R29"/>
    <mergeCell ref="H25:J25"/>
    <mergeCell ref="K25:M25"/>
    <mergeCell ref="N25:O25"/>
    <mergeCell ref="P25:S25"/>
    <mergeCell ref="E27:G27"/>
    <mergeCell ref="H27:J27"/>
    <mergeCell ref="B26:D26"/>
    <mergeCell ref="E26:G26"/>
    <mergeCell ref="H26:J26"/>
    <mergeCell ref="K26:M26"/>
    <mergeCell ref="N26:O26"/>
    <mergeCell ref="P26:S26"/>
    <mergeCell ref="B27:D27"/>
    <mergeCell ref="P27:S27"/>
    <mergeCell ref="K27:M27"/>
    <mergeCell ref="N27:O27"/>
    <mergeCell ref="E23:G23"/>
    <mergeCell ref="H23:J23"/>
    <mergeCell ref="P23:S23"/>
    <mergeCell ref="T24:U24"/>
    <mergeCell ref="T25:U25"/>
    <mergeCell ref="T26:U26"/>
    <mergeCell ref="T27:U27"/>
    <mergeCell ref="B22:D22"/>
    <mergeCell ref="E22:G22"/>
    <mergeCell ref="H22:J22"/>
    <mergeCell ref="K22:M22"/>
    <mergeCell ref="N22:O22"/>
    <mergeCell ref="P22:S22"/>
    <mergeCell ref="B23:D23"/>
    <mergeCell ref="K23:M23"/>
    <mergeCell ref="N23:O23"/>
    <mergeCell ref="E24:G24"/>
    <mergeCell ref="H24:J24"/>
    <mergeCell ref="K24:M24"/>
    <mergeCell ref="N24:O24"/>
    <mergeCell ref="P24:S24"/>
    <mergeCell ref="B24:D24"/>
    <mergeCell ref="B25:D25"/>
    <mergeCell ref="E25:G25"/>
    <mergeCell ref="E20:G20"/>
    <mergeCell ref="H20:J20"/>
    <mergeCell ref="K20:M20"/>
    <mergeCell ref="N20:O20"/>
    <mergeCell ref="P20:S20"/>
    <mergeCell ref="B20:D20"/>
    <mergeCell ref="B21:D21"/>
    <mergeCell ref="E21:G21"/>
    <mergeCell ref="H21:J21"/>
    <mergeCell ref="K21:M21"/>
    <mergeCell ref="N21:O21"/>
    <mergeCell ref="P21:S21"/>
    <mergeCell ref="E19:G19"/>
    <mergeCell ref="H19:J19"/>
    <mergeCell ref="B18:D18"/>
    <mergeCell ref="E18:G18"/>
    <mergeCell ref="H18:J18"/>
    <mergeCell ref="K18:M18"/>
    <mergeCell ref="N18:O18"/>
    <mergeCell ref="P18:S18"/>
    <mergeCell ref="B19:D19"/>
    <mergeCell ref="P19:S19"/>
    <mergeCell ref="K19:M19"/>
    <mergeCell ref="N19:O19"/>
    <mergeCell ref="E16:G16"/>
    <mergeCell ref="H16:J16"/>
    <mergeCell ref="K16:M16"/>
    <mergeCell ref="N16:O16"/>
    <mergeCell ref="P16:S16"/>
    <mergeCell ref="B16:D16"/>
    <mergeCell ref="B17:D17"/>
    <mergeCell ref="E17:G17"/>
    <mergeCell ref="H17:J17"/>
    <mergeCell ref="K17:M17"/>
    <mergeCell ref="N17:O17"/>
    <mergeCell ref="P17:S17"/>
    <mergeCell ref="E15:G15"/>
    <mergeCell ref="H15:J15"/>
    <mergeCell ref="B14:D14"/>
    <mergeCell ref="E14:G14"/>
    <mergeCell ref="H14:J14"/>
    <mergeCell ref="K14:M14"/>
    <mergeCell ref="N14:O14"/>
    <mergeCell ref="P14:S14"/>
    <mergeCell ref="B15:D15"/>
    <mergeCell ref="P15:S15"/>
    <mergeCell ref="K15:M15"/>
    <mergeCell ref="N15:O15"/>
    <mergeCell ref="E12:G12"/>
    <mergeCell ref="H12:J12"/>
    <mergeCell ref="K12:M12"/>
    <mergeCell ref="N12:O12"/>
    <mergeCell ref="P12:S12"/>
    <mergeCell ref="B12:D12"/>
    <mergeCell ref="B13:D13"/>
    <mergeCell ref="E13:G13"/>
    <mergeCell ref="H13:J13"/>
    <mergeCell ref="K13:M13"/>
    <mergeCell ref="N13:O13"/>
    <mergeCell ref="P13:S13"/>
    <mergeCell ref="E11:G11"/>
    <mergeCell ref="H11:J11"/>
    <mergeCell ref="B10:D10"/>
    <mergeCell ref="E10:G10"/>
    <mergeCell ref="H10:J10"/>
    <mergeCell ref="K10:M10"/>
    <mergeCell ref="N10:O10"/>
    <mergeCell ref="P10:S10"/>
    <mergeCell ref="B11:D11"/>
    <mergeCell ref="P11:S11"/>
    <mergeCell ref="K11:M11"/>
    <mergeCell ref="N11:O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outlinePr summaryBelow="0" summaryRight="0"/>
  </sheetPr>
  <dimension ref="A1:U54"/>
  <sheetViews>
    <sheetView showGridLines="0" workbookViewId="0"/>
  </sheetViews>
  <sheetFormatPr defaultColWidth="12.6640625" defaultRowHeight="15.75" customHeight="1"/>
  <cols>
    <col min="1" max="21" width="7.6640625" customWidth="1"/>
  </cols>
  <sheetData>
    <row r="1" spans="1:21" ht="15.75" customHeight="1">
      <c r="A1" s="12" t="str">
        <f ca="1">IFERROR(__xludf.DUMMYFUNCTION("IMPORTRANGE(""https://docs.google.com/spreadsheets/d/11rZfuCcnWwx4mypRymG7SP3aoV-_A_PQ83tyDxi-OiQ/edit?gid=144174392#gid=144174392"", ""DE Bracket Apollo!A1:U54"")"),"")</f>
        <v/>
      </c>
      <c r="B1" s="28" t="str">
        <f ca="1">IFERROR(__xludf.DUMMYFUNCTION("""COMPUTED_VALUE"""),"Apollo Main Bracket")</f>
        <v>Apollo Main Bracket</v>
      </c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>
      <c r="A2" s="12"/>
      <c r="B2" s="21"/>
      <c r="C2" s="21"/>
      <c r="D2" s="21"/>
      <c r="E2" s="21"/>
      <c r="F2" s="21"/>
      <c r="G2" s="12"/>
      <c r="H2" s="12"/>
      <c r="I2" s="12"/>
      <c r="J2" s="12"/>
      <c r="K2" s="29" t="str">
        <f ca="1">IFERROR(__xludf.DUMMYFUNCTION("""COMPUTED_VALUE"""),"Timeout Used")</f>
        <v>Timeout Used</v>
      </c>
      <c r="L2" s="21"/>
      <c r="M2" s="12"/>
      <c r="N2" s="12"/>
      <c r="O2" s="12"/>
      <c r="P2" s="12"/>
      <c r="Q2" s="12"/>
      <c r="R2" s="12"/>
      <c r="S2" s="12"/>
      <c r="T2" s="12"/>
      <c r="U2" s="12"/>
    </row>
    <row r="3" spans="1:21" ht="15.75" customHeight="1">
      <c r="A3" s="12" t="str">
        <f ca="1">IFERROR(__xludf.DUMMYFUNCTION("""COMPUTED_VALUE"""),"Seed #")</f>
        <v>Seed #</v>
      </c>
      <c r="B3" s="23" t="str">
        <f ca="1">IFERROR(__xludf.DUMMYFUNCTION("""COMPUTED_VALUE"""),"Game 1")</f>
        <v>Game 1</v>
      </c>
      <c r="C3" s="24"/>
      <c r="D3" s="24"/>
      <c r="E3" s="20"/>
      <c r="F3" s="21"/>
      <c r="G3" s="21"/>
      <c r="H3" s="20"/>
      <c r="I3" s="21"/>
      <c r="J3" s="21"/>
      <c r="K3" s="20"/>
      <c r="L3" s="21"/>
      <c r="M3" s="21"/>
      <c r="N3" s="20"/>
      <c r="O3" s="21"/>
      <c r="P3" s="20"/>
      <c r="Q3" s="21"/>
      <c r="R3" s="21"/>
      <c r="S3" s="21"/>
      <c r="T3" s="12"/>
      <c r="U3" s="12"/>
    </row>
    <row r="4" spans="1:21" ht="15.75" customHeight="1">
      <c r="A4" s="13">
        <f ca="1">IFERROR(__xludf.DUMMYFUNCTION("""COMPUTED_VALUE"""),1)</f>
        <v>1</v>
      </c>
      <c r="B4" s="20" t="str">
        <f ca="1">IFERROR(__xludf.DUMMYFUNCTION("""COMPUTED_VALUE"""),"141 Colonia")</f>
        <v>141 Colonia</v>
      </c>
      <c r="C4" s="21"/>
      <c r="D4" s="22"/>
      <c r="E4" s="23" t="str">
        <f ca="1">IFERROR(__xludf.DUMMYFUNCTION("""COMPUTED_VALUE"""),"Game 13")</f>
        <v>Game 13</v>
      </c>
      <c r="F4" s="24"/>
      <c r="G4" s="24"/>
      <c r="H4" s="20"/>
      <c r="I4" s="21"/>
      <c r="J4" s="21"/>
      <c r="K4" s="20"/>
      <c r="L4" s="21"/>
      <c r="M4" s="21"/>
      <c r="N4" s="20"/>
      <c r="O4" s="21"/>
      <c r="P4" s="20"/>
      <c r="Q4" s="21"/>
      <c r="R4" s="21"/>
      <c r="S4" s="21"/>
      <c r="T4" s="12"/>
      <c r="U4" s="12"/>
    </row>
    <row r="5" spans="1:21" ht="15.75" customHeight="1">
      <c r="A5" s="13">
        <f ca="1">IFERROR(__xludf.DUMMYFUNCTION("""COMPUTED_VALUE"""),16)</f>
        <v>16</v>
      </c>
      <c r="B5" s="27" t="str">
        <f ca="1">IFERROR(__xludf.DUMMYFUNCTION("""COMPUTED_VALUE"""),"Bye")</f>
        <v>Bye</v>
      </c>
      <c r="C5" s="24"/>
      <c r="D5" s="26"/>
      <c r="E5" s="20" t="str">
        <f ca="1">IFERROR(__xludf.DUMMYFUNCTION("""COMPUTED_VALUE"""),"141 Colonia")</f>
        <v>141 Colonia</v>
      </c>
      <c r="F5" s="21"/>
      <c r="G5" s="22"/>
      <c r="H5" s="20"/>
      <c r="I5" s="21"/>
      <c r="J5" s="21"/>
      <c r="K5" s="20"/>
      <c r="L5" s="21"/>
      <c r="M5" s="21"/>
      <c r="N5" s="20"/>
      <c r="O5" s="21"/>
      <c r="P5" s="20"/>
      <c r="Q5" s="21"/>
      <c r="R5" s="21"/>
      <c r="S5" s="21"/>
      <c r="T5" s="12"/>
      <c r="U5" s="12"/>
    </row>
    <row r="6" spans="1:21" ht="15.75" customHeight="1">
      <c r="A6" s="12"/>
      <c r="B6" s="20"/>
      <c r="C6" s="21"/>
      <c r="D6" s="21"/>
      <c r="E6" s="20"/>
      <c r="F6" s="21"/>
      <c r="G6" s="22"/>
      <c r="H6" s="23" t="str">
        <f ca="1">IFERROR(__xludf.DUMMYFUNCTION("""COMPUTED_VALUE"""),"Game 21")</f>
        <v>Game 21</v>
      </c>
      <c r="I6" s="24"/>
      <c r="J6" s="24"/>
      <c r="K6" s="20"/>
      <c r="L6" s="21"/>
      <c r="M6" s="21"/>
      <c r="N6" s="20"/>
      <c r="O6" s="21"/>
      <c r="P6" s="20"/>
      <c r="Q6" s="21"/>
      <c r="R6" s="21"/>
      <c r="S6" s="21"/>
      <c r="T6" s="12"/>
      <c r="U6" s="12"/>
    </row>
    <row r="7" spans="1:21" ht="15.75" customHeight="1">
      <c r="A7" s="12"/>
      <c r="B7" s="23" t="str">
        <f ca="1">IFERROR(__xludf.DUMMYFUNCTION("""COMPUTED_VALUE"""),"Game 2")</f>
        <v>Game 2</v>
      </c>
      <c r="C7" s="24"/>
      <c r="D7" s="24"/>
      <c r="E7" s="20"/>
      <c r="F7" s="21"/>
      <c r="G7" s="22"/>
      <c r="H7" s="20" t="str">
        <f ca="1">IFERROR(__xludf.DUMMYFUNCTION("""COMPUTED_VALUE"""),"141 Colonia")</f>
        <v>141 Colonia</v>
      </c>
      <c r="I7" s="21"/>
      <c r="J7" s="22"/>
      <c r="K7" s="20"/>
      <c r="L7" s="21"/>
      <c r="M7" s="21"/>
      <c r="N7" s="20"/>
      <c r="O7" s="21"/>
      <c r="P7" s="20"/>
      <c r="Q7" s="21"/>
      <c r="R7" s="21"/>
      <c r="S7" s="21"/>
      <c r="T7" s="12"/>
      <c r="U7" s="12"/>
    </row>
    <row r="8" spans="1:21" ht="15.75" customHeight="1">
      <c r="A8" s="13">
        <f ca="1">IFERROR(__xludf.DUMMYFUNCTION("""COMPUTED_VALUE"""),8)</f>
        <v>8</v>
      </c>
      <c r="B8" s="20" t="str">
        <f ca="1">IFERROR(__xludf.DUMMYFUNCTION("""COMPUTED_VALUE"""),"822 Jerome ")</f>
        <v xml:space="preserve">822 Jerome </v>
      </c>
      <c r="C8" s="21"/>
      <c r="D8" s="22"/>
      <c r="E8" s="30" t="str">
        <f ca="1">IFERROR(__xludf.DUMMYFUNCTION("""COMPUTED_VALUE"""),"151 Westche")</f>
        <v>151 Westche</v>
      </c>
      <c r="F8" s="24"/>
      <c r="G8" s="26"/>
      <c r="H8" s="20"/>
      <c r="I8" s="21"/>
      <c r="J8" s="22"/>
      <c r="K8" s="20"/>
      <c r="L8" s="21"/>
      <c r="M8" s="21"/>
      <c r="N8" s="20"/>
      <c r="O8" s="21"/>
      <c r="P8" s="20"/>
      <c r="Q8" s="21"/>
      <c r="R8" s="21"/>
      <c r="S8" s="21"/>
      <c r="T8" s="12"/>
      <c r="U8" s="12"/>
    </row>
    <row r="9" spans="1:21" ht="15.75" customHeight="1">
      <c r="A9" s="13">
        <f ca="1">IFERROR(__xludf.DUMMYFUNCTION("""COMPUTED_VALUE"""),9)</f>
        <v>9</v>
      </c>
      <c r="B9" s="25" t="str">
        <f ca="1">IFERROR(__xludf.DUMMYFUNCTION("""COMPUTED_VALUE"""),"151 Westche")</f>
        <v>151 Westche</v>
      </c>
      <c r="C9" s="24"/>
      <c r="D9" s="26"/>
      <c r="E9" s="20"/>
      <c r="F9" s="21"/>
      <c r="G9" s="21"/>
      <c r="H9" s="20"/>
      <c r="I9" s="21"/>
      <c r="J9" s="22"/>
      <c r="K9" s="20"/>
      <c r="L9" s="21"/>
      <c r="M9" s="21"/>
      <c r="N9" s="20"/>
      <c r="O9" s="21"/>
      <c r="P9" s="20"/>
      <c r="Q9" s="21"/>
      <c r="R9" s="21"/>
      <c r="S9" s="21"/>
      <c r="T9" s="12"/>
      <c r="U9" s="12"/>
    </row>
    <row r="10" spans="1:21" ht="15.75" customHeight="1">
      <c r="A10" s="12"/>
      <c r="B10" s="20"/>
      <c r="C10" s="21"/>
      <c r="D10" s="21"/>
      <c r="E10" s="20"/>
      <c r="F10" s="21"/>
      <c r="G10" s="21"/>
      <c r="H10" s="20"/>
      <c r="I10" s="21"/>
      <c r="J10" s="22"/>
      <c r="K10" s="23" t="str">
        <f ca="1">IFERROR(__xludf.DUMMYFUNCTION("""COMPUTED_VALUE"""),"Game 27")</f>
        <v>Game 27</v>
      </c>
      <c r="L10" s="24"/>
      <c r="M10" s="24"/>
      <c r="N10" s="20"/>
      <c r="O10" s="21"/>
      <c r="P10" s="20"/>
      <c r="Q10" s="21"/>
      <c r="R10" s="21"/>
      <c r="S10" s="21"/>
      <c r="T10" s="12"/>
      <c r="U10" s="12"/>
    </row>
    <row r="11" spans="1:21" ht="15.75" customHeight="1">
      <c r="A11" s="12"/>
      <c r="B11" s="23" t="str">
        <f ca="1">IFERROR(__xludf.DUMMYFUNCTION("""COMPUTED_VALUE"""),"Game 3")</f>
        <v>Game 3</v>
      </c>
      <c r="C11" s="24"/>
      <c r="D11" s="24"/>
      <c r="E11" s="20"/>
      <c r="F11" s="21"/>
      <c r="G11" s="21"/>
      <c r="H11" s="20"/>
      <c r="I11" s="21"/>
      <c r="J11" s="22"/>
      <c r="K11" s="20" t="str">
        <f ca="1">IFERROR(__xludf.DUMMYFUNCTION("""COMPUTED_VALUE"""),"662 Beansta")</f>
        <v>662 Beansta</v>
      </c>
      <c r="L11" s="21"/>
      <c r="M11" s="22"/>
      <c r="N11" s="20"/>
      <c r="O11" s="21"/>
      <c r="P11" s="20"/>
      <c r="Q11" s="21"/>
      <c r="R11" s="21"/>
      <c r="S11" s="21"/>
      <c r="T11" s="12"/>
      <c r="U11" s="12"/>
    </row>
    <row r="12" spans="1:21" ht="15.75" customHeight="1">
      <c r="A12" s="13">
        <f ca="1">IFERROR(__xludf.DUMMYFUNCTION("""COMPUTED_VALUE"""),5)</f>
        <v>5</v>
      </c>
      <c r="B12" s="20" t="str">
        <f ca="1">IFERROR(__xludf.DUMMYFUNCTION("""COMPUTED_VALUE"""),"662 Beansta")</f>
        <v>662 Beansta</v>
      </c>
      <c r="C12" s="21"/>
      <c r="D12" s="22"/>
      <c r="E12" s="23" t="str">
        <f ca="1">IFERROR(__xludf.DUMMYFUNCTION("""COMPUTED_VALUE"""),"Game 14")</f>
        <v>Game 14</v>
      </c>
      <c r="F12" s="24"/>
      <c r="G12" s="24"/>
      <c r="H12" s="20"/>
      <c r="I12" s="21"/>
      <c r="J12" s="22"/>
      <c r="K12" s="20"/>
      <c r="L12" s="21"/>
      <c r="M12" s="22"/>
      <c r="N12" s="20"/>
      <c r="O12" s="21"/>
      <c r="P12" s="20"/>
      <c r="Q12" s="21"/>
      <c r="R12" s="21"/>
      <c r="S12" s="21"/>
      <c r="T12" s="12"/>
      <c r="U12" s="12"/>
    </row>
    <row r="13" spans="1:21" ht="15.75" customHeight="1">
      <c r="A13" s="13">
        <f ca="1">IFERROR(__xludf.DUMMYFUNCTION("""COMPUTED_VALUE"""),12)</f>
        <v>12</v>
      </c>
      <c r="B13" s="25" t="str">
        <f ca="1">IFERROR(__xludf.DUMMYFUNCTION("""COMPUTED_VALUE"""),"828 Stratfo")</f>
        <v>828 Stratfo</v>
      </c>
      <c r="C13" s="24"/>
      <c r="D13" s="26"/>
      <c r="E13" s="20" t="str">
        <f ca="1">IFERROR(__xludf.DUMMYFUNCTION("""COMPUTED_VALUE"""),"662 Beansta")</f>
        <v>662 Beansta</v>
      </c>
      <c r="F13" s="21"/>
      <c r="G13" s="22"/>
      <c r="H13" s="20"/>
      <c r="I13" s="21"/>
      <c r="J13" s="22"/>
      <c r="K13" s="20"/>
      <c r="L13" s="21"/>
      <c r="M13" s="22"/>
      <c r="N13" s="20"/>
      <c r="O13" s="21"/>
      <c r="P13" s="20"/>
      <c r="Q13" s="21"/>
      <c r="R13" s="21"/>
      <c r="S13" s="21"/>
      <c r="T13" s="12"/>
      <c r="U13" s="12"/>
    </row>
    <row r="14" spans="1:21" ht="15.75" customHeight="1">
      <c r="A14" s="12"/>
      <c r="B14" s="20"/>
      <c r="C14" s="21"/>
      <c r="D14" s="21"/>
      <c r="E14" s="20"/>
      <c r="F14" s="21"/>
      <c r="G14" s="22"/>
      <c r="H14" s="25" t="str">
        <f ca="1">IFERROR(__xludf.DUMMYFUNCTION("""COMPUTED_VALUE"""),"662 Beansta")</f>
        <v>662 Beansta</v>
      </c>
      <c r="I14" s="24"/>
      <c r="J14" s="26"/>
      <c r="K14" s="20"/>
      <c r="L14" s="21"/>
      <c r="M14" s="22"/>
      <c r="N14" s="20"/>
      <c r="O14" s="21"/>
      <c r="P14" s="20"/>
      <c r="Q14" s="21"/>
      <c r="R14" s="21"/>
      <c r="S14" s="21"/>
      <c r="T14" s="12"/>
      <c r="U14" s="12"/>
    </row>
    <row r="15" spans="1:21" ht="15.75" customHeight="1">
      <c r="A15" s="12"/>
      <c r="B15" s="23" t="str">
        <f ca="1">IFERROR(__xludf.DUMMYFUNCTION("""COMPUTED_VALUE"""),"Game 4")</f>
        <v>Game 4</v>
      </c>
      <c r="C15" s="24"/>
      <c r="D15" s="24"/>
      <c r="E15" s="20"/>
      <c r="F15" s="21"/>
      <c r="G15" s="22"/>
      <c r="H15" s="20"/>
      <c r="I15" s="21"/>
      <c r="J15" s="21"/>
      <c r="K15" s="20"/>
      <c r="L15" s="21"/>
      <c r="M15" s="22"/>
      <c r="N15" s="20"/>
      <c r="O15" s="21"/>
      <c r="P15" s="20"/>
      <c r="Q15" s="21"/>
      <c r="R15" s="21"/>
      <c r="S15" s="21"/>
      <c r="T15" s="12"/>
      <c r="U15" s="12"/>
    </row>
    <row r="16" spans="1:21" ht="15.75" customHeight="1">
      <c r="A16" s="13">
        <f ca="1">IFERROR(__xludf.DUMMYFUNCTION("""COMPUTED_VALUE"""),4)</f>
        <v>4</v>
      </c>
      <c r="B16" s="20" t="str">
        <f ca="1">IFERROR(__xludf.DUMMYFUNCTION("""COMPUTED_VALUE"""),"006 Dead Ro")</f>
        <v>006 Dead Ro</v>
      </c>
      <c r="C16" s="21"/>
      <c r="D16" s="22"/>
      <c r="E16" s="25" t="str">
        <f ca="1">IFERROR(__xludf.DUMMYFUNCTION("""COMPUTED_VALUE"""),"006 Dead Ro")</f>
        <v>006 Dead Ro</v>
      </c>
      <c r="F16" s="24"/>
      <c r="G16" s="26"/>
      <c r="H16" s="20"/>
      <c r="I16" s="21"/>
      <c r="J16" s="21"/>
      <c r="K16" s="20"/>
      <c r="L16" s="21"/>
      <c r="M16" s="22"/>
      <c r="N16" s="20"/>
      <c r="O16" s="21"/>
      <c r="P16" s="20"/>
      <c r="Q16" s="21"/>
      <c r="R16" s="21"/>
      <c r="S16" s="21"/>
      <c r="T16" s="12"/>
      <c r="U16" s="12"/>
    </row>
    <row r="17" spans="1:21" ht="15.75" customHeight="1">
      <c r="A17" s="13">
        <f ca="1">IFERROR(__xludf.DUMMYFUNCTION("""COMPUTED_VALUE"""),13)</f>
        <v>13</v>
      </c>
      <c r="B17" s="27" t="str">
        <f ca="1">IFERROR(__xludf.DUMMYFUNCTION("""COMPUTED_VALUE"""),"Bye")</f>
        <v>Bye</v>
      </c>
      <c r="C17" s="24"/>
      <c r="D17" s="26"/>
      <c r="E17" s="20"/>
      <c r="F17" s="21"/>
      <c r="G17" s="21"/>
      <c r="H17" s="20"/>
      <c r="I17" s="21"/>
      <c r="J17" s="21"/>
      <c r="K17" s="20"/>
      <c r="L17" s="21"/>
      <c r="M17" s="22"/>
      <c r="N17" s="20"/>
      <c r="O17" s="21"/>
      <c r="P17" s="20"/>
      <c r="Q17" s="21"/>
      <c r="R17" s="21"/>
      <c r="S17" s="21"/>
      <c r="T17" s="12"/>
      <c r="U17" s="12"/>
    </row>
    <row r="18" spans="1:21" ht="15.75" customHeight="1">
      <c r="A18" s="12"/>
      <c r="B18" s="20"/>
      <c r="C18" s="21"/>
      <c r="D18" s="21"/>
      <c r="E18" s="20"/>
      <c r="F18" s="21"/>
      <c r="G18" s="21"/>
      <c r="H18" s="20"/>
      <c r="I18" s="21"/>
      <c r="J18" s="21"/>
      <c r="K18" s="20"/>
      <c r="L18" s="21"/>
      <c r="M18" s="22"/>
      <c r="N18" s="23" t="str">
        <f ca="1">IFERROR(__xludf.DUMMYFUNCTION("""COMPUTED_VALUE"""),"Game 30")</f>
        <v>Game 30</v>
      </c>
      <c r="O18" s="24"/>
      <c r="P18" s="20"/>
      <c r="Q18" s="21"/>
      <c r="R18" s="21"/>
      <c r="S18" s="21"/>
      <c r="T18" s="12"/>
      <c r="U18" s="12"/>
    </row>
    <row r="19" spans="1:21" ht="15.75" customHeight="1">
      <c r="A19" s="12"/>
      <c r="B19" s="23" t="str">
        <f ca="1">IFERROR(__xludf.DUMMYFUNCTION("""COMPUTED_VALUE"""),"Game 5")</f>
        <v>Game 5</v>
      </c>
      <c r="C19" s="24"/>
      <c r="D19" s="24"/>
      <c r="E19" s="20"/>
      <c r="F19" s="21"/>
      <c r="G19" s="21"/>
      <c r="H19" s="20"/>
      <c r="I19" s="21"/>
      <c r="J19" s="21"/>
      <c r="K19" s="20"/>
      <c r="L19" s="21"/>
      <c r="M19" s="22"/>
      <c r="N19" s="20" t="str">
        <f ca="1">IFERROR(__xludf.DUMMYFUNCTION("""COMPUTED_VALUE"""),"813 Radiant")</f>
        <v>813 Radiant</v>
      </c>
      <c r="O19" s="22"/>
      <c r="P19" s="20"/>
      <c r="Q19" s="21"/>
      <c r="R19" s="21"/>
      <c r="S19" s="21"/>
      <c r="T19" s="12"/>
      <c r="U19" s="12"/>
    </row>
    <row r="20" spans="1:21" ht="15.75" customHeight="1">
      <c r="A20" s="13">
        <f ca="1">IFERROR(__xludf.DUMMYFUNCTION("""COMPUTED_VALUE"""),3)</f>
        <v>3</v>
      </c>
      <c r="B20" s="20" t="str">
        <f ca="1">IFERROR(__xludf.DUMMYFUNCTION("""COMPUTED_VALUE"""),"720 Noble H")</f>
        <v>720 Noble H</v>
      </c>
      <c r="C20" s="21"/>
      <c r="D20" s="22"/>
      <c r="E20" s="23" t="str">
        <f ca="1">IFERROR(__xludf.DUMMYFUNCTION("""COMPUTED_VALUE"""),"Game 15")</f>
        <v>Game 15</v>
      </c>
      <c r="F20" s="24"/>
      <c r="G20" s="24"/>
      <c r="H20" s="20"/>
      <c r="I20" s="21"/>
      <c r="J20" s="21"/>
      <c r="K20" s="20"/>
      <c r="L20" s="21"/>
      <c r="M20" s="22"/>
      <c r="N20" s="20"/>
      <c r="O20" s="22"/>
      <c r="P20" s="20"/>
      <c r="Q20" s="21"/>
      <c r="R20" s="21"/>
      <c r="S20" s="21"/>
      <c r="T20" s="12"/>
      <c r="U20" s="12"/>
    </row>
    <row r="21" spans="1:21" ht="15.75" customHeight="1">
      <c r="A21" s="13">
        <f ca="1">IFERROR(__xludf.DUMMYFUNCTION("""COMPUTED_VALUE"""),14)</f>
        <v>14</v>
      </c>
      <c r="B21" s="27" t="str">
        <f ca="1">IFERROR(__xludf.DUMMYFUNCTION("""COMPUTED_VALUE"""),"Bye")</f>
        <v>Bye</v>
      </c>
      <c r="C21" s="24"/>
      <c r="D21" s="26"/>
      <c r="E21" s="20" t="str">
        <f ca="1">IFERROR(__xludf.DUMMYFUNCTION("""COMPUTED_VALUE"""),"720 Noble H")</f>
        <v>720 Noble H</v>
      </c>
      <c r="F21" s="21"/>
      <c r="G21" s="22"/>
      <c r="H21" s="20"/>
      <c r="I21" s="21"/>
      <c r="J21" s="21"/>
      <c r="K21" s="20"/>
      <c r="L21" s="21"/>
      <c r="M21" s="22"/>
      <c r="N21" s="20"/>
      <c r="O21" s="22"/>
      <c r="P21" s="20"/>
      <c r="Q21" s="21"/>
      <c r="R21" s="21"/>
      <c r="S21" s="21"/>
      <c r="T21" s="12"/>
      <c r="U21" s="12"/>
    </row>
    <row r="22" spans="1:21" ht="15.75" customHeight="1">
      <c r="A22" s="12"/>
      <c r="B22" s="20"/>
      <c r="C22" s="21"/>
      <c r="D22" s="21"/>
      <c r="E22" s="20"/>
      <c r="F22" s="21"/>
      <c r="G22" s="22"/>
      <c r="H22" s="23" t="str">
        <f ca="1">IFERROR(__xludf.DUMMYFUNCTION("""COMPUTED_VALUE"""),"Game 22")</f>
        <v>Game 22</v>
      </c>
      <c r="I22" s="24"/>
      <c r="J22" s="24"/>
      <c r="K22" s="20"/>
      <c r="L22" s="21"/>
      <c r="M22" s="22"/>
      <c r="N22" s="20"/>
      <c r="O22" s="22"/>
      <c r="P22" s="20"/>
      <c r="Q22" s="21"/>
      <c r="R22" s="21"/>
      <c r="S22" s="21"/>
      <c r="T22" s="12"/>
      <c r="U22" s="12"/>
    </row>
    <row r="23" spans="1:21" ht="14.4">
      <c r="A23" s="12"/>
      <c r="B23" s="23" t="str">
        <f ca="1">IFERROR(__xludf.DUMMYFUNCTION("""COMPUTED_VALUE"""),"Game 6")</f>
        <v>Game 6</v>
      </c>
      <c r="C23" s="24"/>
      <c r="D23" s="24"/>
      <c r="E23" s="20"/>
      <c r="F23" s="21"/>
      <c r="G23" s="22"/>
      <c r="H23" s="20" t="str">
        <f ca="1">IFERROR(__xludf.DUMMYFUNCTION("""COMPUTED_VALUE"""),"720 Noble H")</f>
        <v>720 Noble H</v>
      </c>
      <c r="I23" s="21"/>
      <c r="J23" s="22"/>
      <c r="K23" s="20"/>
      <c r="L23" s="21"/>
      <c r="M23" s="22"/>
      <c r="N23" s="20"/>
      <c r="O23" s="22"/>
      <c r="P23" s="20"/>
      <c r="Q23" s="21"/>
      <c r="R23" s="21"/>
      <c r="S23" s="21"/>
      <c r="T23" s="12"/>
      <c r="U23" s="12"/>
    </row>
    <row r="24" spans="1:21" ht="14.4">
      <c r="A24" s="13">
        <f ca="1">IFERROR(__xludf.DUMMYFUNCTION("""COMPUTED_VALUE"""),6)</f>
        <v>6</v>
      </c>
      <c r="B24" s="20" t="str">
        <f ca="1">IFERROR(__xludf.DUMMYFUNCTION("""COMPUTED_VALUE"""),"928 Noble P")</f>
        <v>928 Noble P</v>
      </c>
      <c r="C24" s="21"/>
      <c r="D24" s="22"/>
      <c r="E24" s="25" t="str">
        <f ca="1">IFERROR(__xludf.DUMMYFUNCTION("""COMPUTED_VALUE"""),"928 Noble P")</f>
        <v>928 Noble P</v>
      </c>
      <c r="F24" s="24"/>
      <c r="G24" s="26"/>
      <c r="H24" s="20"/>
      <c r="I24" s="21"/>
      <c r="J24" s="22"/>
      <c r="K24" s="20"/>
      <c r="L24" s="21"/>
      <c r="M24" s="22"/>
      <c r="N24" s="20"/>
      <c r="O24" s="22"/>
      <c r="P24" s="20"/>
      <c r="Q24" s="21"/>
      <c r="R24" s="21"/>
      <c r="S24" s="21"/>
      <c r="T24" s="20"/>
      <c r="U24" s="21"/>
    </row>
    <row r="25" spans="1:21" ht="14.4">
      <c r="A25" s="13">
        <f ca="1">IFERROR(__xludf.DUMMYFUNCTION("""COMPUTED_VALUE"""),11)</f>
        <v>11</v>
      </c>
      <c r="B25" s="25" t="str">
        <f ca="1">IFERROR(__xludf.DUMMYFUNCTION("""COMPUTED_VALUE"""),"160 1010 Po")</f>
        <v>160 1010 Po</v>
      </c>
      <c r="C25" s="24"/>
      <c r="D25" s="26"/>
      <c r="E25" s="20"/>
      <c r="F25" s="21"/>
      <c r="G25" s="21"/>
      <c r="H25" s="20"/>
      <c r="I25" s="21"/>
      <c r="J25" s="22"/>
      <c r="K25" s="20"/>
      <c r="L25" s="21"/>
      <c r="M25" s="22"/>
      <c r="N25" s="20"/>
      <c r="O25" s="22"/>
      <c r="P25" s="20"/>
      <c r="Q25" s="21"/>
      <c r="R25" s="21"/>
      <c r="S25" s="21"/>
      <c r="T25" s="20"/>
      <c r="U25" s="21"/>
    </row>
    <row r="26" spans="1:21" ht="14.4">
      <c r="A26" s="12"/>
      <c r="B26" s="20"/>
      <c r="C26" s="21"/>
      <c r="D26" s="21"/>
      <c r="E26" s="20"/>
      <c r="F26" s="21"/>
      <c r="G26" s="21"/>
      <c r="H26" s="20"/>
      <c r="I26" s="21"/>
      <c r="J26" s="22"/>
      <c r="K26" s="25" t="str">
        <f ca="1">IFERROR(__xludf.DUMMYFUNCTION("""COMPUTED_VALUE"""),"813 Radiant")</f>
        <v>813 Radiant</v>
      </c>
      <c r="L26" s="24"/>
      <c r="M26" s="26"/>
      <c r="N26" s="20"/>
      <c r="O26" s="22"/>
      <c r="P26" s="20"/>
      <c r="Q26" s="21"/>
      <c r="R26" s="21"/>
      <c r="S26" s="21"/>
      <c r="T26" s="20"/>
      <c r="U26" s="21"/>
    </row>
    <row r="27" spans="1:21" ht="14.4">
      <c r="A27" s="12"/>
      <c r="B27" s="23" t="str">
        <f ca="1">IFERROR(__xludf.DUMMYFUNCTION("""COMPUTED_VALUE"""),"Game 7")</f>
        <v>Game 7</v>
      </c>
      <c r="C27" s="24"/>
      <c r="D27" s="24"/>
      <c r="E27" s="20"/>
      <c r="F27" s="21"/>
      <c r="G27" s="21"/>
      <c r="H27" s="20"/>
      <c r="I27" s="21"/>
      <c r="J27" s="22"/>
      <c r="K27" s="20"/>
      <c r="L27" s="21"/>
      <c r="M27" s="21"/>
      <c r="N27" s="20"/>
      <c r="O27" s="22"/>
      <c r="P27" s="20"/>
      <c r="Q27" s="21"/>
      <c r="R27" s="21"/>
      <c r="S27" s="21"/>
      <c r="T27" s="20"/>
      <c r="U27" s="21"/>
    </row>
    <row r="28" spans="1:21" ht="14.4">
      <c r="A28" s="13">
        <f ca="1">IFERROR(__xludf.DUMMYFUNCTION("""COMPUTED_VALUE"""),7)</f>
        <v>7</v>
      </c>
      <c r="B28" s="20" t="str">
        <f ca="1">IFERROR(__xludf.DUMMYFUNCTION("""COMPUTED_VALUE"""),"805 Tucumca")</f>
        <v>805 Tucumca</v>
      </c>
      <c r="C28" s="21"/>
      <c r="D28" s="22"/>
      <c r="E28" s="23" t="str">
        <f ca="1">IFERROR(__xludf.DUMMYFUNCTION("""COMPUTED_VALUE"""),"Game 16")</f>
        <v>Game 16</v>
      </c>
      <c r="F28" s="24"/>
      <c r="G28" s="24"/>
      <c r="H28" s="20"/>
      <c r="I28" s="21"/>
      <c r="J28" s="22"/>
      <c r="K28" s="20"/>
      <c r="L28" s="21"/>
      <c r="M28" s="21"/>
      <c r="N28" s="20"/>
      <c r="O28" s="22"/>
      <c r="P28" s="23" t="str">
        <f ca="1">IFERROR(__xludf.DUMMYFUNCTION("""COMPUTED_VALUE"""),"Game 31")</f>
        <v>Game 31</v>
      </c>
      <c r="Q28" s="24"/>
      <c r="R28" s="24"/>
      <c r="S28" s="12"/>
      <c r="T28" s="12"/>
      <c r="U28" s="12"/>
    </row>
    <row r="29" spans="1:21" ht="14.4">
      <c r="A29" s="13">
        <f ca="1">IFERROR(__xludf.DUMMYFUNCTION("""COMPUTED_VALUE"""),10)</f>
        <v>10</v>
      </c>
      <c r="B29" s="25" t="str">
        <f ca="1">IFERROR(__xludf.DUMMYFUNCTION("""COMPUTED_VALUE"""),"813 Radiant")</f>
        <v>813 Radiant</v>
      </c>
      <c r="C29" s="24"/>
      <c r="D29" s="26"/>
      <c r="E29" s="20" t="str">
        <f ca="1">IFERROR(__xludf.DUMMYFUNCTION("""COMPUTED_VALUE"""),"813 Radiant")</f>
        <v>813 Radiant</v>
      </c>
      <c r="F29" s="21"/>
      <c r="G29" s="22"/>
      <c r="H29" s="20"/>
      <c r="I29" s="21"/>
      <c r="J29" s="22"/>
      <c r="K29" s="20"/>
      <c r="L29" s="21"/>
      <c r="M29" s="21"/>
      <c r="N29" s="20"/>
      <c r="O29" s="22"/>
      <c r="P29" s="12"/>
      <c r="Q29" s="20" t="str">
        <f ca="1">IFERROR(__xludf.DUMMYFUNCTION("""COMPUTED_VALUE"""),"813 Radiant")</f>
        <v>813 Radiant</v>
      </c>
      <c r="R29" s="22"/>
      <c r="S29" s="12"/>
      <c r="T29" s="12"/>
      <c r="U29" s="12"/>
    </row>
    <row r="30" spans="1:21" ht="14.4">
      <c r="A30" s="12"/>
      <c r="B30" s="20"/>
      <c r="C30" s="21"/>
      <c r="D30" s="21"/>
      <c r="E30" s="20"/>
      <c r="F30" s="21"/>
      <c r="G30" s="22"/>
      <c r="H30" s="25" t="str">
        <f ca="1">IFERROR(__xludf.DUMMYFUNCTION("""COMPUTED_VALUE"""),"813 Radiant")</f>
        <v>813 Radiant</v>
      </c>
      <c r="I30" s="24"/>
      <c r="J30" s="26"/>
      <c r="K30" s="20"/>
      <c r="L30" s="21"/>
      <c r="M30" s="21"/>
      <c r="N30" s="20"/>
      <c r="O30" s="22"/>
      <c r="P30" s="12"/>
      <c r="Q30" s="20"/>
      <c r="R30" s="22"/>
      <c r="S30" s="12"/>
      <c r="T30" s="12"/>
      <c r="U30" s="12"/>
    </row>
    <row r="31" spans="1:21" ht="14.4">
      <c r="A31" s="12"/>
      <c r="B31" s="23" t="str">
        <f ca="1">IFERROR(__xludf.DUMMYFUNCTION("""COMPUTED_VALUE"""),"Game 8")</f>
        <v>Game 8</v>
      </c>
      <c r="C31" s="24"/>
      <c r="D31" s="24"/>
      <c r="E31" s="20"/>
      <c r="F31" s="21"/>
      <c r="G31" s="22"/>
      <c r="H31" s="20"/>
      <c r="I31" s="21"/>
      <c r="J31" s="21"/>
      <c r="K31" s="20"/>
      <c r="L31" s="21"/>
      <c r="M31" s="21"/>
      <c r="N31" s="20"/>
      <c r="O31" s="22"/>
      <c r="P31" s="12"/>
      <c r="Q31" s="20"/>
      <c r="R31" s="22"/>
      <c r="S31" s="25" t="str">
        <f ca="1">IFERROR(__xludf.DUMMYFUNCTION("""COMPUTED_VALUE"""),"813 Radiant")</f>
        <v>813 Radiant</v>
      </c>
      <c r="T31" s="24"/>
      <c r="U31" s="24"/>
    </row>
    <row r="32" spans="1:21" ht="14.4">
      <c r="A32" s="13">
        <f ca="1">IFERROR(__xludf.DUMMYFUNCTION("""COMPUTED_VALUE"""),2)</f>
        <v>2</v>
      </c>
      <c r="B32" s="20" t="str">
        <f ca="1">IFERROR(__xludf.DUMMYFUNCTION("""COMPUTED_VALUE"""),"007 Malden ")</f>
        <v xml:space="preserve">007 Malden </v>
      </c>
      <c r="C32" s="21"/>
      <c r="D32" s="22"/>
      <c r="E32" s="25" t="str">
        <f ca="1">IFERROR(__xludf.DUMMYFUNCTION("""COMPUTED_VALUE"""),"007 Malden ")</f>
        <v xml:space="preserve">007 Malden </v>
      </c>
      <c r="F32" s="24"/>
      <c r="G32" s="26"/>
      <c r="H32" s="20"/>
      <c r="I32" s="21"/>
      <c r="J32" s="21"/>
      <c r="K32" s="20"/>
      <c r="L32" s="21"/>
      <c r="M32" s="21"/>
      <c r="N32" s="20"/>
      <c r="O32" s="22"/>
      <c r="P32" s="12"/>
      <c r="Q32" s="20"/>
      <c r="R32" s="22"/>
      <c r="S32" s="12"/>
      <c r="T32" s="12"/>
      <c r="U32" s="12"/>
    </row>
    <row r="33" spans="1:21" ht="14.4">
      <c r="A33" s="13">
        <f ca="1">IFERROR(__xludf.DUMMYFUNCTION("""COMPUTED_VALUE"""),15)</f>
        <v>15</v>
      </c>
      <c r="B33" s="27" t="str">
        <f ca="1">IFERROR(__xludf.DUMMYFUNCTION("""COMPUTED_VALUE"""),"Bye")</f>
        <v>Bye</v>
      </c>
      <c r="C33" s="24"/>
      <c r="D33" s="26"/>
      <c r="E33" s="20"/>
      <c r="F33" s="21"/>
      <c r="G33" s="21"/>
      <c r="H33" s="20"/>
      <c r="I33" s="21"/>
      <c r="J33" s="21"/>
      <c r="K33" s="20"/>
      <c r="L33" s="21"/>
      <c r="M33" s="21"/>
      <c r="N33" s="20"/>
      <c r="O33" s="22"/>
      <c r="P33" s="12"/>
      <c r="Q33" s="20"/>
      <c r="R33" s="22"/>
      <c r="S33" s="12"/>
      <c r="T33" s="12"/>
      <c r="U33" s="12"/>
    </row>
    <row r="34" spans="1:21" ht="14.4">
      <c r="A34" s="14"/>
      <c r="B34" s="31"/>
      <c r="C34" s="32"/>
      <c r="D34" s="32"/>
      <c r="E34" s="31"/>
      <c r="F34" s="32"/>
      <c r="G34" s="32"/>
      <c r="H34" s="31"/>
      <c r="I34" s="32"/>
      <c r="J34" s="32"/>
      <c r="K34" s="31"/>
      <c r="L34" s="32"/>
      <c r="M34" s="32"/>
      <c r="N34" s="14"/>
      <c r="O34" s="15"/>
      <c r="P34" s="12"/>
      <c r="Q34" s="25" t="str">
        <f ca="1">IFERROR(__xludf.DUMMYFUNCTION("""COMPUTED_VALUE"""),"")</f>
        <v/>
      </c>
      <c r="R34" s="26"/>
      <c r="S34" s="12"/>
      <c r="T34" s="12"/>
      <c r="U34" s="12"/>
    </row>
    <row r="35" spans="1:21" ht="14.4">
      <c r="A35" s="12"/>
      <c r="B35" s="28" t="str">
        <f ca="1">IFERROR(__xludf.DUMMYFUNCTION("""COMPUTED_VALUE"""),"Apollo Consolation Bracket")</f>
        <v>Apollo Consolation Bracket</v>
      </c>
      <c r="C35" s="21"/>
      <c r="D35" s="21"/>
      <c r="E35" s="21"/>
      <c r="F35" s="21"/>
      <c r="G35" s="21"/>
      <c r="H35" s="20"/>
      <c r="I35" s="21"/>
      <c r="J35" s="20"/>
      <c r="K35" s="21"/>
      <c r="L35" s="23" t="str">
        <f ca="1">IFERROR(__xludf.DUMMYFUNCTION("""COMPUTED_VALUE"""),"Game 29")</f>
        <v>Game 29</v>
      </c>
      <c r="M35" s="24"/>
      <c r="N35" s="12"/>
      <c r="O35" s="16"/>
      <c r="P35" s="12"/>
      <c r="Q35" s="12"/>
      <c r="R35" s="12"/>
      <c r="S35" s="12"/>
      <c r="T35" s="12"/>
      <c r="U35" s="12"/>
    </row>
    <row r="36" spans="1:21" ht="14.4">
      <c r="A36" s="12"/>
      <c r="B36" s="21"/>
      <c r="C36" s="21"/>
      <c r="D36" s="21"/>
      <c r="E36" s="21"/>
      <c r="F36" s="21"/>
      <c r="G36" s="21"/>
      <c r="H36" s="20"/>
      <c r="I36" s="21"/>
      <c r="J36" s="20"/>
      <c r="K36" s="21"/>
      <c r="L36" s="20" t="str">
        <f ca="1">IFERROR(__xludf.DUMMYFUNCTION("""COMPUTED_VALUE"""),"662 Beansta")</f>
        <v>662 Beansta</v>
      </c>
      <c r="M36" s="22"/>
      <c r="N36" s="12"/>
      <c r="O36" s="16"/>
      <c r="P36" s="12"/>
      <c r="Q36" s="12"/>
      <c r="R36" s="12"/>
      <c r="S36" s="12"/>
      <c r="T36" s="12"/>
      <c r="U36" s="12"/>
    </row>
    <row r="37" spans="1:21" ht="14.4">
      <c r="A37" s="12"/>
      <c r="B37" s="20"/>
      <c r="C37" s="21"/>
      <c r="D37" s="20"/>
      <c r="E37" s="21"/>
      <c r="F37" s="20"/>
      <c r="G37" s="21"/>
      <c r="H37" s="33" t="str">
        <f ca="1">IFERROR(__xludf.DUMMYFUNCTION("""COMPUTED_VALUE"""),"Game 25")</f>
        <v>Game 25</v>
      </c>
      <c r="I37" s="24"/>
      <c r="J37" s="20"/>
      <c r="K37" s="21"/>
      <c r="L37" s="20"/>
      <c r="M37" s="22"/>
      <c r="N37" s="12"/>
      <c r="O37" s="16"/>
      <c r="P37" s="12"/>
      <c r="Q37" s="12"/>
      <c r="R37" s="12"/>
      <c r="S37" s="12"/>
      <c r="T37" s="12"/>
      <c r="U37" s="12"/>
    </row>
    <row r="38" spans="1:21" ht="14.4">
      <c r="A38" s="12"/>
      <c r="B38" s="20"/>
      <c r="C38" s="21"/>
      <c r="D38" s="23" t="str">
        <f ca="1">IFERROR(__xludf.DUMMYFUNCTION("""COMPUTED_VALUE"""),"Game 17")</f>
        <v>Game 17</v>
      </c>
      <c r="E38" s="24"/>
      <c r="F38" s="20"/>
      <c r="G38" s="21"/>
      <c r="H38" s="20" t="str">
        <f ca="1">IFERROR(__xludf.DUMMYFUNCTION("""COMPUTED_VALUE"""),"141 Colonia")</f>
        <v>141 Colonia</v>
      </c>
      <c r="I38" s="22"/>
      <c r="J38" s="20"/>
      <c r="K38" s="21"/>
      <c r="L38" s="20"/>
      <c r="M38" s="22"/>
      <c r="N38" s="12"/>
      <c r="O38" s="16"/>
      <c r="P38" s="12"/>
      <c r="Q38" s="12"/>
      <c r="R38" s="12"/>
      <c r="S38" s="12"/>
      <c r="T38" s="20"/>
      <c r="U38" s="21"/>
    </row>
    <row r="39" spans="1:21" ht="14.4">
      <c r="A39" s="12"/>
      <c r="B39" s="23" t="str">
        <f ca="1">IFERROR(__xludf.DUMMYFUNCTION("""COMPUTED_VALUE"""),"Game 9")</f>
        <v>Game 9</v>
      </c>
      <c r="C39" s="24"/>
      <c r="D39" s="20" t="str">
        <f ca="1">IFERROR(__xludf.DUMMYFUNCTION("""COMPUTED_VALUE"""),"007 Malden ")</f>
        <v xml:space="preserve">007 Malden </v>
      </c>
      <c r="E39" s="22"/>
      <c r="F39" s="23" t="str">
        <f ca="1">IFERROR(__xludf.DUMMYFUNCTION("""COMPUTED_VALUE"""),"Game 23")</f>
        <v>Game 23</v>
      </c>
      <c r="G39" s="24"/>
      <c r="H39" s="20"/>
      <c r="I39" s="22"/>
      <c r="J39" s="23" t="str">
        <f ca="1">IFERROR(__xludf.DUMMYFUNCTION("""COMPUTED_VALUE"""),"Game 28")</f>
        <v>Game 28</v>
      </c>
      <c r="K39" s="24"/>
      <c r="L39" s="20"/>
      <c r="M39" s="22"/>
      <c r="N39" s="25" t="str">
        <f ca="1">IFERROR(__xludf.DUMMYFUNCTION("""COMPUTED_VALUE"""),"720 Noble H")</f>
        <v>720 Noble H</v>
      </c>
      <c r="O39" s="26"/>
      <c r="P39" s="12"/>
      <c r="Q39" s="12"/>
      <c r="R39" s="12"/>
      <c r="S39" s="12"/>
      <c r="T39" s="20"/>
      <c r="U39" s="21"/>
    </row>
    <row r="40" spans="1:21" ht="14.4">
      <c r="A40" s="12"/>
      <c r="B40" s="20" t="str">
        <f ca="1">IFERROR(__xludf.DUMMYFUNCTION("""COMPUTED_VALUE"""),"Bye")</f>
        <v>Bye</v>
      </c>
      <c r="C40" s="22"/>
      <c r="D40" s="25" t="str">
        <f ca="1">IFERROR(__xludf.DUMMYFUNCTION("""COMPUTED_VALUE"""),"822 Jerome ")</f>
        <v xml:space="preserve">822 Jerome </v>
      </c>
      <c r="E40" s="26"/>
      <c r="F40" s="20" t="str">
        <f ca="1">IFERROR(__xludf.DUMMYFUNCTION("""COMPUTED_VALUE"""),"822 Jerome ")</f>
        <v xml:space="preserve">822 Jerome </v>
      </c>
      <c r="G40" s="22"/>
      <c r="H40" s="20"/>
      <c r="I40" s="22"/>
      <c r="J40" s="20" t="str">
        <f ca="1">IFERROR(__xludf.DUMMYFUNCTION("""COMPUTED_VALUE"""),"141 Colonia")</f>
        <v>141 Colonia</v>
      </c>
      <c r="K40" s="22"/>
      <c r="L40" s="20"/>
      <c r="M40" s="22"/>
      <c r="N40" s="12"/>
      <c r="O40" s="12"/>
      <c r="P40" s="12"/>
      <c r="Q40" s="20"/>
      <c r="R40" s="21"/>
      <c r="S40" s="21"/>
      <c r="T40" s="20"/>
      <c r="U40" s="21"/>
    </row>
    <row r="41" spans="1:21" ht="14.4">
      <c r="A41" s="12"/>
      <c r="B41" s="25" t="str">
        <f ca="1">IFERROR(__xludf.DUMMYFUNCTION("""COMPUTED_VALUE"""),"822 Jerome ")</f>
        <v xml:space="preserve">822 Jerome </v>
      </c>
      <c r="C41" s="26"/>
      <c r="D41" s="20"/>
      <c r="E41" s="21"/>
      <c r="F41" s="20"/>
      <c r="G41" s="22"/>
      <c r="H41" s="25" t="str">
        <f ca="1">IFERROR(__xludf.DUMMYFUNCTION("""COMPUTED_VALUE"""),"822 Jerome ")</f>
        <v xml:space="preserve">822 Jerome </v>
      </c>
      <c r="I41" s="26"/>
      <c r="J41" s="20"/>
      <c r="K41" s="22"/>
      <c r="L41" s="20"/>
      <c r="M41" s="22"/>
      <c r="N41" s="12"/>
      <c r="O41" s="20"/>
      <c r="P41" s="21"/>
      <c r="Q41" s="20"/>
      <c r="R41" s="21"/>
      <c r="S41" s="21"/>
      <c r="T41" s="20"/>
      <c r="U41" s="21"/>
    </row>
    <row r="42" spans="1:21" ht="14.4">
      <c r="A42" s="12"/>
      <c r="B42" s="20"/>
      <c r="C42" s="21"/>
      <c r="D42" s="23" t="str">
        <f ca="1">IFERROR(__xludf.DUMMYFUNCTION("""COMPUTED_VALUE"""),"Game 18")</f>
        <v>Game 18</v>
      </c>
      <c r="E42" s="24"/>
      <c r="F42" s="20"/>
      <c r="G42" s="22"/>
      <c r="H42" s="20"/>
      <c r="I42" s="21"/>
      <c r="J42" s="20"/>
      <c r="K42" s="22"/>
      <c r="L42" s="20"/>
      <c r="M42" s="22"/>
      <c r="N42" s="12"/>
      <c r="O42" s="20"/>
      <c r="P42" s="21"/>
      <c r="Q42" s="20"/>
      <c r="R42" s="21"/>
      <c r="S42" s="21"/>
      <c r="T42" s="20"/>
      <c r="U42" s="21"/>
    </row>
    <row r="43" spans="1:21" ht="14.4">
      <c r="A43" s="12"/>
      <c r="B43" s="23" t="str">
        <f ca="1">IFERROR(__xludf.DUMMYFUNCTION("""COMPUTED_VALUE"""),"Game 10")</f>
        <v>Game 10</v>
      </c>
      <c r="C43" s="24"/>
      <c r="D43" s="20" t="str">
        <f ca="1">IFERROR(__xludf.DUMMYFUNCTION("""COMPUTED_VALUE"""),"928 Noble P")</f>
        <v>928 Noble P</v>
      </c>
      <c r="E43" s="22"/>
      <c r="F43" s="25" t="str">
        <f ca="1">IFERROR(__xludf.DUMMYFUNCTION("""COMPUTED_VALUE"""),"828 Stratfo")</f>
        <v>828 Stratfo</v>
      </c>
      <c r="G43" s="26"/>
      <c r="H43" s="20"/>
      <c r="I43" s="21"/>
      <c r="J43" s="20"/>
      <c r="K43" s="22"/>
      <c r="L43" s="25" t="str">
        <f ca="1">IFERROR(__xludf.DUMMYFUNCTION("""COMPUTED_VALUE"""),"720 Noble H")</f>
        <v>720 Noble H</v>
      </c>
      <c r="M43" s="26"/>
      <c r="N43" s="12"/>
      <c r="O43" s="20"/>
      <c r="P43" s="21"/>
      <c r="Q43" s="20"/>
      <c r="R43" s="21"/>
      <c r="S43" s="21"/>
      <c r="T43" s="20"/>
      <c r="U43" s="21"/>
    </row>
    <row r="44" spans="1:21" ht="14.4">
      <c r="A44" s="12"/>
      <c r="B44" s="20" t="str">
        <f ca="1">IFERROR(__xludf.DUMMYFUNCTION("""COMPUTED_VALUE"""),"828 Stratfo")</f>
        <v>828 Stratfo</v>
      </c>
      <c r="C44" s="22"/>
      <c r="D44" s="25" t="str">
        <f ca="1">IFERROR(__xludf.DUMMYFUNCTION("""COMPUTED_VALUE"""),"828 Stratfo")</f>
        <v>828 Stratfo</v>
      </c>
      <c r="E44" s="26"/>
      <c r="F44" s="20"/>
      <c r="G44" s="21"/>
      <c r="H44" s="20"/>
      <c r="I44" s="21"/>
      <c r="J44" s="20"/>
      <c r="K44" s="22"/>
      <c r="L44" s="20"/>
      <c r="M44" s="21"/>
      <c r="N44" s="12"/>
      <c r="O44" s="20"/>
      <c r="P44" s="21"/>
      <c r="Q44" s="20"/>
      <c r="R44" s="21"/>
      <c r="S44" s="21"/>
      <c r="T44" s="20"/>
      <c r="U44" s="21"/>
    </row>
    <row r="45" spans="1:21" ht="14.4">
      <c r="A45" s="12"/>
      <c r="B45" s="25" t="str">
        <f ca="1">IFERROR(__xludf.DUMMYFUNCTION("""COMPUTED_VALUE"""),"Bye")</f>
        <v>Bye</v>
      </c>
      <c r="C45" s="26"/>
      <c r="D45" s="20"/>
      <c r="E45" s="21"/>
      <c r="F45" s="20"/>
      <c r="G45" s="21"/>
      <c r="H45" s="33" t="str">
        <f ca="1">IFERROR(__xludf.DUMMYFUNCTION("""COMPUTED_VALUE"""),"Game 26")</f>
        <v>Game 26</v>
      </c>
      <c r="I45" s="24"/>
      <c r="J45" s="20"/>
      <c r="K45" s="22"/>
      <c r="L45" s="20"/>
      <c r="M45" s="21"/>
      <c r="N45" s="12"/>
      <c r="O45" s="20"/>
      <c r="P45" s="21"/>
      <c r="Q45" s="20"/>
      <c r="R45" s="21"/>
      <c r="S45" s="21"/>
      <c r="T45" s="20"/>
      <c r="U45" s="21"/>
    </row>
    <row r="46" spans="1:21" ht="14.4">
      <c r="A46" s="12"/>
      <c r="B46" s="20"/>
      <c r="C46" s="21"/>
      <c r="D46" s="23" t="str">
        <f ca="1">IFERROR(__xludf.DUMMYFUNCTION("""COMPUTED_VALUE"""),"Game 19")</f>
        <v>Game 19</v>
      </c>
      <c r="E46" s="24"/>
      <c r="F46" s="20"/>
      <c r="G46" s="21"/>
      <c r="H46" s="20" t="str">
        <f ca="1">IFERROR(__xludf.DUMMYFUNCTION("""COMPUTED_VALUE"""),"720 Noble H")</f>
        <v>720 Noble H</v>
      </c>
      <c r="I46" s="22"/>
      <c r="J46" s="20"/>
      <c r="K46" s="22"/>
      <c r="L46" s="20"/>
      <c r="M46" s="21"/>
      <c r="N46" s="12"/>
      <c r="O46" s="20"/>
      <c r="P46" s="21"/>
      <c r="Q46" s="20"/>
      <c r="R46" s="21"/>
      <c r="S46" s="21"/>
      <c r="T46" s="20"/>
      <c r="U46" s="21"/>
    </row>
    <row r="47" spans="1:21" ht="14.4">
      <c r="A47" s="12"/>
      <c r="B47" s="23" t="str">
        <f ca="1">IFERROR(__xludf.DUMMYFUNCTION("""COMPUTED_VALUE"""),"Game 11")</f>
        <v>Game 11</v>
      </c>
      <c r="C47" s="24"/>
      <c r="D47" s="20" t="str">
        <f ca="1">IFERROR(__xludf.DUMMYFUNCTION("""COMPUTED_VALUE"""),"006 Dead Ro")</f>
        <v>006 Dead Ro</v>
      </c>
      <c r="E47" s="22"/>
      <c r="F47" s="23" t="str">
        <f ca="1">IFERROR(__xludf.DUMMYFUNCTION("""COMPUTED_VALUE"""),"Game 24")</f>
        <v>Game 24</v>
      </c>
      <c r="G47" s="24"/>
      <c r="H47" s="20"/>
      <c r="I47" s="22"/>
      <c r="J47" s="25" t="str">
        <f ca="1">IFERROR(__xludf.DUMMYFUNCTION("""COMPUTED_VALUE"""),"720 Noble H")</f>
        <v>720 Noble H</v>
      </c>
      <c r="K47" s="26"/>
      <c r="L47" s="20"/>
      <c r="M47" s="21"/>
      <c r="N47" s="12"/>
      <c r="O47" s="20"/>
      <c r="P47" s="21"/>
      <c r="Q47" s="20"/>
      <c r="R47" s="21"/>
      <c r="S47" s="21"/>
      <c r="T47" s="20"/>
      <c r="U47" s="21"/>
    </row>
    <row r="48" spans="1:21" ht="14.4">
      <c r="A48" s="12"/>
      <c r="B48" s="20" t="str">
        <f ca="1">IFERROR(__xludf.DUMMYFUNCTION("""COMPUTED_VALUE"""),"Bye")</f>
        <v>Bye</v>
      </c>
      <c r="C48" s="22"/>
      <c r="D48" s="25" t="str">
        <f ca="1">IFERROR(__xludf.DUMMYFUNCTION("""COMPUTED_VALUE"""),"160 1010 Po")</f>
        <v>160 1010 Po</v>
      </c>
      <c r="E48" s="26"/>
      <c r="F48" s="20" t="str">
        <f ca="1">IFERROR(__xludf.DUMMYFUNCTION("""COMPUTED_VALUE"""),"006 Dead Ro")</f>
        <v>006 Dead Ro</v>
      </c>
      <c r="G48" s="22"/>
      <c r="H48" s="20"/>
      <c r="I48" s="22"/>
      <c r="J48" s="20"/>
      <c r="K48" s="21"/>
      <c r="L48" s="20"/>
      <c r="M48" s="21"/>
      <c r="N48" s="12"/>
      <c r="O48" s="20"/>
      <c r="P48" s="21"/>
      <c r="Q48" s="20"/>
      <c r="R48" s="21"/>
      <c r="S48" s="21"/>
      <c r="T48" s="20"/>
      <c r="U48" s="21"/>
    </row>
    <row r="49" spans="1:21" ht="14.4">
      <c r="A49" s="12"/>
      <c r="B49" s="25" t="str">
        <f ca="1">IFERROR(__xludf.DUMMYFUNCTION("""COMPUTED_VALUE"""),"160 1010 Po")</f>
        <v>160 1010 Po</v>
      </c>
      <c r="C49" s="26"/>
      <c r="D49" s="20"/>
      <c r="E49" s="21"/>
      <c r="F49" s="20"/>
      <c r="G49" s="22"/>
      <c r="H49" s="25" t="str">
        <f ca="1">IFERROR(__xludf.DUMMYFUNCTION("""COMPUTED_VALUE"""),"006 Dead Ro")</f>
        <v>006 Dead Ro</v>
      </c>
      <c r="I49" s="26"/>
      <c r="J49" s="20"/>
      <c r="K49" s="21"/>
      <c r="L49" s="20"/>
      <c r="M49" s="21"/>
      <c r="N49" s="12"/>
      <c r="O49" s="20"/>
      <c r="P49" s="21"/>
      <c r="Q49" s="20"/>
      <c r="R49" s="21"/>
      <c r="S49" s="21"/>
      <c r="T49" s="20"/>
      <c r="U49" s="21"/>
    </row>
    <row r="50" spans="1:21" ht="14.4">
      <c r="A50" s="12"/>
      <c r="B50" s="20"/>
      <c r="C50" s="21"/>
      <c r="D50" s="23" t="str">
        <f ca="1">IFERROR(__xludf.DUMMYFUNCTION("""COMPUTED_VALUE"""),"Game 20")</f>
        <v>Game 20</v>
      </c>
      <c r="E50" s="24"/>
      <c r="F50" s="20"/>
      <c r="G50" s="22"/>
      <c r="H50" s="20"/>
      <c r="I50" s="21"/>
      <c r="J50" s="20"/>
      <c r="K50" s="21"/>
      <c r="L50" s="20"/>
      <c r="M50" s="21"/>
      <c r="N50" s="12"/>
      <c r="O50" s="20"/>
      <c r="P50" s="21"/>
      <c r="Q50" s="20"/>
      <c r="R50" s="21"/>
      <c r="S50" s="21"/>
      <c r="T50" s="20"/>
      <c r="U50" s="21"/>
    </row>
    <row r="51" spans="1:21" ht="14.4">
      <c r="A51" s="12"/>
      <c r="B51" s="23" t="str">
        <f ca="1">IFERROR(__xludf.DUMMYFUNCTION("""COMPUTED_VALUE"""),"Game 12")</f>
        <v>Game 12</v>
      </c>
      <c r="C51" s="24"/>
      <c r="D51" s="20" t="str">
        <f ca="1">IFERROR(__xludf.DUMMYFUNCTION("""COMPUTED_VALUE"""),"151 Westche")</f>
        <v>151 Westche</v>
      </c>
      <c r="E51" s="22"/>
      <c r="F51" s="25" t="str">
        <f ca="1">IFERROR(__xludf.DUMMYFUNCTION("""COMPUTED_VALUE"""),"151 Westche")</f>
        <v>151 Westche</v>
      </c>
      <c r="G51" s="26"/>
      <c r="H51" s="20"/>
      <c r="I51" s="21"/>
      <c r="J51" s="20"/>
      <c r="K51" s="21"/>
      <c r="L51" s="20"/>
      <c r="M51" s="21"/>
      <c r="N51" s="12"/>
      <c r="O51" s="20"/>
      <c r="P51" s="21"/>
      <c r="Q51" s="20"/>
      <c r="R51" s="21"/>
      <c r="S51" s="21"/>
      <c r="T51" s="20"/>
      <c r="U51" s="21"/>
    </row>
    <row r="52" spans="1:21" ht="14.4">
      <c r="A52" s="12"/>
      <c r="B52" s="20" t="str">
        <f ca="1">IFERROR(__xludf.DUMMYFUNCTION("""COMPUTED_VALUE"""),"805 Tucumca")</f>
        <v>805 Tucumca</v>
      </c>
      <c r="C52" s="22"/>
      <c r="D52" s="25" t="str">
        <f ca="1">IFERROR(__xludf.DUMMYFUNCTION("""COMPUTED_VALUE"""),"805 Tucumca")</f>
        <v>805 Tucumca</v>
      </c>
      <c r="E52" s="26"/>
      <c r="F52" s="20"/>
      <c r="G52" s="21"/>
      <c r="H52" s="20"/>
      <c r="I52" s="21"/>
      <c r="J52" s="20"/>
      <c r="K52" s="21"/>
      <c r="L52" s="20"/>
      <c r="M52" s="21"/>
      <c r="N52" s="12"/>
      <c r="O52" s="20"/>
      <c r="P52" s="21"/>
      <c r="Q52" s="20"/>
      <c r="R52" s="21"/>
      <c r="S52" s="21"/>
      <c r="T52" s="20"/>
      <c r="U52" s="21"/>
    </row>
    <row r="53" spans="1:21" ht="14.4">
      <c r="A53" s="12"/>
      <c r="B53" s="25" t="str">
        <f ca="1">IFERROR(__xludf.DUMMYFUNCTION("""COMPUTED_VALUE"""),"Bye")</f>
        <v>Bye</v>
      </c>
      <c r="C53" s="26"/>
      <c r="D53" s="20"/>
      <c r="E53" s="21"/>
      <c r="F53" s="20"/>
      <c r="G53" s="21"/>
      <c r="H53" s="20"/>
      <c r="I53" s="21"/>
      <c r="J53" s="20"/>
      <c r="K53" s="21"/>
      <c r="L53" s="20"/>
      <c r="M53" s="21"/>
      <c r="N53" s="12"/>
      <c r="O53" s="20"/>
      <c r="P53" s="21"/>
      <c r="Q53" s="20"/>
      <c r="R53" s="21"/>
      <c r="S53" s="21"/>
      <c r="T53" s="20"/>
      <c r="U53" s="21"/>
    </row>
    <row r="54" spans="1:21" ht="14.4">
      <c r="A54" s="12"/>
      <c r="B54" s="20"/>
      <c r="C54" s="21"/>
      <c r="D54" s="20"/>
      <c r="E54" s="21"/>
      <c r="F54" s="20"/>
      <c r="G54" s="21"/>
      <c r="H54" s="20"/>
      <c r="I54" s="21"/>
      <c r="J54" s="20"/>
      <c r="K54" s="21"/>
      <c r="L54" s="20"/>
      <c r="M54" s="21"/>
      <c r="N54" s="12"/>
      <c r="O54" s="20"/>
      <c r="P54" s="21"/>
      <c r="Q54" s="20"/>
      <c r="R54" s="21"/>
      <c r="S54" s="21"/>
      <c r="T54" s="20"/>
      <c r="U54" s="21"/>
    </row>
  </sheetData>
  <mergeCells count="360">
    <mergeCell ref="Q49:S49"/>
    <mergeCell ref="T49:U49"/>
    <mergeCell ref="B49:C49"/>
    <mergeCell ref="D49:E49"/>
    <mergeCell ref="F49:G49"/>
    <mergeCell ref="H49:I49"/>
    <mergeCell ref="J49:K49"/>
    <mergeCell ref="L49:M49"/>
    <mergeCell ref="O49:P49"/>
    <mergeCell ref="Q48:S48"/>
    <mergeCell ref="T48:U48"/>
    <mergeCell ref="B48:C48"/>
    <mergeCell ref="D48:E48"/>
    <mergeCell ref="F48:G48"/>
    <mergeCell ref="H48:I48"/>
    <mergeCell ref="J48:K48"/>
    <mergeCell ref="L48:M48"/>
    <mergeCell ref="O48:P48"/>
    <mergeCell ref="Q47:S47"/>
    <mergeCell ref="T47:U47"/>
    <mergeCell ref="B47:C47"/>
    <mergeCell ref="D47:E47"/>
    <mergeCell ref="F47:G47"/>
    <mergeCell ref="H47:I47"/>
    <mergeCell ref="J47:K47"/>
    <mergeCell ref="L47:M47"/>
    <mergeCell ref="O47:P47"/>
    <mergeCell ref="Q46:S46"/>
    <mergeCell ref="T46:U46"/>
    <mergeCell ref="B46:C46"/>
    <mergeCell ref="D46:E46"/>
    <mergeCell ref="F46:G46"/>
    <mergeCell ref="H46:I46"/>
    <mergeCell ref="J46:K46"/>
    <mergeCell ref="L46:M46"/>
    <mergeCell ref="O46:P46"/>
    <mergeCell ref="B44:C44"/>
    <mergeCell ref="D44:E44"/>
    <mergeCell ref="F44:G44"/>
    <mergeCell ref="H44:I44"/>
    <mergeCell ref="J44:K44"/>
    <mergeCell ref="L44:M44"/>
    <mergeCell ref="O44:P44"/>
    <mergeCell ref="Q45:S45"/>
    <mergeCell ref="T45:U45"/>
    <mergeCell ref="B45:C45"/>
    <mergeCell ref="D45:E45"/>
    <mergeCell ref="F45:G45"/>
    <mergeCell ref="H45:I45"/>
    <mergeCell ref="J45:K45"/>
    <mergeCell ref="L45:M45"/>
    <mergeCell ref="O45:P45"/>
    <mergeCell ref="Q54:S54"/>
    <mergeCell ref="T54:U54"/>
    <mergeCell ref="B54:C54"/>
    <mergeCell ref="D54:E54"/>
    <mergeCell ref="F54:G54"/>
    <mergeCell ref="H54:I54"/>
    <mergeCell ref="J54:K54"/>
    <mergeCell ref="L54:M54"/>
    <mergeCell ref="O54:P54"/>
    <mergeCell ref="T38:U38"/>
    <mergeCell ref="N39:O39"/>
    <mergeCell ref="T39:U39"/>
    <mergeCell ref="B38:C38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B37:C37"/>
    <mergeCell ref="D38:E38"/>
    <mergeCell ref="F38:G38"/>
    <mergeCell ref="H38:I38"/>
    <mergeCell ref="J38:K38"/>
    <mergeCell ref="L38:M38"/>
    <mergeCell ref="B34:D34"/>
    <mergeCell ref="E34:G34"/>
    <mergeCell ref="H34:J34"/>
    <mergeCell ref="K34:M34"/>
    <mergeCell ref="Q34:R34"/>
    <mergeCell ref="B35:G36"/>
    <mergeCell ref="H35:I35"/>
    <mergeCell ref="L36:M36"/>
    <mergeCell ref="H36:I36"/>
    <mergeCell ref="J36:K36"/>
    <mergeCell ref="Q53:S53"/>
    <mergeCell ref="T53:U53"/>
    <mergeCell ref="B53:C53"/>
    <mergeCell ref="D53:E53"/>
    <mergeCell ref="F53:G53"/>
    <mergeCell ref="H53:I53"/>
    <mergeCell ref="J53:K53"/>
    <mergeCell ref="L53:M53"/>
    <mergeCell ref="O53:P53"/>
    <mergeCell ref="Q52:S52"/>
    <mergeCell ref="T52:U52"/>
    <mergeCell ref="B52:C52"/>
    <mergeCell ref="D52:E52"/>
    <mergeCell ref="F52:G52"/>
    <mergeCell ref="H52:I52"/>
    <mergeCell ref="J52:K52"/>
    <mergeCell ref="L52:M52"/>
    <mergeCell ref="O52:P52"/>
    <mergeCell ref="Q51:S51"/>
    <mergeCell ref="T51:U51"/>
    <mergeCell ref="B51:C51"/>
    <mergeCell ref="D51:E51"/>
    <mergeCell ref="F51:G51"/>
    <mergeCell ref="H51:I51"/>
    <mergeCell ref="J51:K51"/>
    <mergeCell ref="L51:M51"/>
    <mergeCell ref="O51:P51"/>
    <mergeCell ref="L41:M41"/>
    <mergeCell ref="Q50:S50"/>
    <mergeCell ref="T50:U50"/>
    <mergeCell ref="B50:C50"/>
    <mergeCell ref="D50:E50"/>
    <mergeCell ref="F50:G50"/>
    <mergeCell ref="H50:I50"/>
    <mergeCell ref="J50:K50"/>
    <mergeCell ref="L50:M50"/>
    <mergeCell ref="O50:P50"/>
    <mergeCell ref="O41:P41"/>
    <mergeCell ref="Q41:S41"/>
    <mergeCell ref="T41:U41"/>
    <mergeCell ref="Q43:S43"/>
    <mergeCell ref="T43:U43"/>
    <mergeCell ref="B43:C43"/>
    <mergeCell ref="D43:E43"/>
    <mergeCell ref="F43:G43"/>
    <mergeCell ref="H43:I43"/>
    <mergeCell ref="J43:K43"/>
    <mergeCell ref="L43:M43"/>
    <mergeCell ref="O43:P43"/>
    <mergeCell ref="Q44:S44"/>
    <mergeCell ref="T44:U44"/>
    <mergeCell ref="J35:K35"/>
    <mergeCell ref="L35:M35"/>
    <mergeCell ref="Q42:S42"/>
    <mergeCell ref="T42:U42"/>
    <mergeCell ref="B42:C42"/>
    <mergeCell ref="D42:E42"/>
    <mergeCell ref="F42:G42"/>
    <mergeCell ref="H42:I42"/>
    <mergeCell ref="J42:K42"/>
    <mergeCell ref="L42:M42"/>
    <mergeCell ref="O42:P42"/>
    <mergeCell ref="D40:E40"/>
    <mergeCell ref="F40:G40"/>
    <mergeCell ref="H40:I40"/>
    <mergeCell ref="J40:K40"/>
    <mergeCell ref="L40:M40"/>
    <mergeCell ref="Q40:S40"/>
    <mergeCell ref="T40:U40"/>
    <mergeCell ref="B40:C40"/>
    <mergeCell ref="B41:C41"/>
    <mergeCell ref="D41:E41"/>
    <mergeCell ref="F41:G41"/>
    <mergeCell ref="H41:I41"/>
    <mergeCell ref="J41:K41"/>
    <mergeCell ref="B9:D9"/>
    <mergeCell ref="E9:G9"/>
    <mergeCell ref="H9:J9"/>
    <mergeCell ref="K9:M9"/>
    <mergeCell ref="N9:O9"/>
    <mergeCell ref="P9:S9"/>
    <mergeCell ref="E6:G6"/>
    <mergeCell ref="H6:J6"/>
    <mergeCell ref="B7:D7"/>
    <mergeCell ref="E7:G7"/>
    <mergeCell ref="H7:J7"/>
    <mergeCell ref="E8:G8"/>
    <mergeCell ref="H8:J8"/>
    <mergeCell ref="K6:M6"/>
    <mergeCell ref="N6:O6"/>
    <mergeCell ref="K7:M7"/>
    <mergeCell ref="N7:O7"/>
    <mergeCell ref="P7:S7"/>
    <mergeCell ref="K8:M8"/>
    <mergeCell ref="N8:O8"/>
    <mergeCell ref="P8:S8"/>
    <mergeCell ref="B5:D5"/>
    <mergeCell ref="E5:G5"/>
    <mergeCell ref="H5:J5"/>
    <mergeCell ref="K5:M5"/>
    <mergeCell ref="N5:O5"/>
    <mergeCell ref="P5:S5"/>
    <mergeCell ref="B6:D6"/>
    <mergeCell ref="P6:S6"/>
    <mergeCell ref="B8:D8"/>
    <mergeCell ref="B1:F2"/>
    <mergeCell ref="K2:L2"/>
    <mergeCell ref="E3:G3"/>
    <mergeCell ref="H3:J3"/>
    <mergeCell ref="K3:M3"/>
    <mergeCell ref="N3:O3"/>
    <mergeCell ref="P3:S3"/>
    <mergeCell ref="B3:D3"/>
    <mergeCell ref="B4:D4"/>
    <mergeCell ref="E4:G4"/>
    <mergeCell ref="H4:J4"/>
    <mergeCell ref="K4:M4"/>
    <mergeCell ref="N4:O4"/>
    <mergeCell ref="P4:S4"/>
    <mergeCell ref="E32:G32"/>
    <mergeCell ref="H32:J32"/>
    <mergeCell ref="K32:M32"/>
    <mergeCell ref="N32:O32"/>
    <mergeCell ref="Q32:R32"/>
    <mergeCell ref="B32:D32"/>
    <mergeCell ref="B33:D33"/>
    <mergeCell ref="E33:G33"/>
    <mergeCell ref="H33:J33"/>
    <mergeCell ref="K33:M33"/>
    <mergeCell ref="N33:O33"/>
    <mergeCell ref="Q33:R33"/>
    <mergeCell ref="E31:G31"/>
    <mergeCell ref="H31:J31"/>
    <mergeCell ref="Q31:R31"/>
    <mergeCell ref="S31:U31"/>
    <mergeCell ref="B30:D30"/>
    <mergeCell ref="E30:G30"/>
    <mergeCell ref="H30:J30"/>
    <mergeCell ref="K30:M30"/>
    <mergeCell ref="N30:O30"/>
    <mergeCell ref="Q30:R30"/>
    <mergeCell ref="B31:D31"/>
    <mergeCell ref="K31:M31"/>
    <mergeCell ref="N31:O31"/>
    <mergeCell ref="E28:G28"/>
    <mergeCell ref="H28:J28"/>
    <mergeCell ref="K28:M28"/>
    <mergeCell ref="N28:O28"/>
    <mergeCell ref="P28:R28"/>
    <mergeCell ref="B28:D28"/>
    <mergeCell ref="B29:D29"/>
    <mergeCell ref="E29:G29"/>
    <mergeCell ref="H29:J29"/>
    <mergeCell ref="K29:M29"/>
    <mergeCell ref="N29:O29"/>
    <mergeCell ref="Q29:R29"/>
    <mergeCell ref="H25:J25"/>
    <mergeCell ref="K25:M25"/>
    <mergeCell ref="N25:O25"/>
    <mergeCell ref="P25:S25"/>
    <mergeCell ref="E27:G27"/>
    <mergeCell ref="H27:J27"/>
    <mergeCell ref="B26:D26"/>
    <mergeCell ref="E26:G26"/>
    <mergeCell ref="H26:J26"/>
    <mergeCell ref="K26:M26"/>
    <mergeCell ref="N26:O26"/>
    <mergeCell ref="P26:S26"/>
    <mergeCell ref="B27:D27"/>
    <mergeCell ref="P27:S27"/>
    <mergeCell ref="K27:M27"/>
    <mergeCell ref="N27:O27"/>
    <mergeCell ref="E23:G23"/>
    <mergeCell ref="H23:J23"/>
    <mergeCell ref="P23:S23"/>
    <mergeCell ref="T24:U24"/>
    <mergeCell ref="T25:U25"/>
    <mergeCell ref="T26:U26"/>
    <mergeCell ref="T27:U27"/>
    <mergeCell ref="B22:D22"/>
    <mergeCell ref="E22:G22"/>
    <mergeCell ref="H22:J22"/>
    <mergeCell ref="K22:M22"/>
    <mergeCell ref="N22:O22"/>
    <mergeCell ref="P22:S22"/>
    <mergeCell ref="B23:D23"/>
    <mergeCell ref="K23:M23"/>
    <mergeCell ref="N23:O23"/>
    <mergeCell ref="E24:G24"/>
    <mergeCell ref="H24:J24"/>
    <mergeCell ref="K24:M24"/>
    <mergeCell ref="N24:O24"/>
    <mergeCell ref="P24:S24"/>
    <mergeCell ref="B24:D24"/>
    <mergeCell ref="B25:D25"/>
    <mergeCell ref="E25:G25"/>
    <mergeCell ref="E20:G20"/>
    <mergeCell ref="H20:J20"/>
    <mergeCell ref="K20:M20"/>
    <mergeCell ref="N20:O20"/>
    <mergeCell ref="P20:S20"/>
    <mergeCell ref="B20:D20"/>
    <mergeCell ref="B21:D21"/>
    <mergeCell ref="E21:G21"/>
    <mergeCell ref="H21:J21"/>
    <mergeCell ref="K21:M21"/>
    <mergeCell ref="N21:O21"/>
    <mergeCell ref="P21:S21"/>
    <mergeCell ref="E19:G19"/>
    <mergeCell ref="H19:J19"/>
    <mergeCell ref="B18:D18"/>
    <mergeCell ref="E18:G18"/>
    <mergeCell ref="H18:J18"/>
    <mergeCell ref="K18:M18"/>
    <mergeCell ref="N18:O18"/>
    <mergeCell ref="P18:S18"/>
    <mergeCell ref="B19:D19"/>
    <mergeCell ref="P19:S19"/>
    <mergeCell ref="K19:M19"/>
    <mergeCell ref="N19:O19"/>
    <mergeCell ref="E16:G16"/>
    <mergeCell ref="H16:J16"/>
    <mergeCell ref="K16:M16"/>
    <mergeCell ref="N16:O16"/>
    <mergeCell ref="P16:S16"/>
    <mergeCell ref="B16:D16"/>
    <mergeCell ref="B17:D17"/>
    <mergeCell ref="E17:G17"/>
    <mergeCell ref="H17:J17"/>
    <mergeCell ref="K17:M17"/>
    <mergeCell ref="N17:O17"/>
    <mergeCell ref="P17:S17"/>
    <mergeCell ref="E15:G15"/>
    <mergeCell ref="H15:J15"/>
    <mergeCell ref="B14:D14"/>
    <mergeCell ref="E14:G14"/>
    <mergeCell ref="H14:J14"/>
    <mergeCell ref="K14:M14"/>
    <mergeCell ref="N14:O14"/>
    <mergeCell ref="P14:S14"/>
    <mergeCell ref="B15:D15"/>
    <mergeCell ref="P15:S15"/>
    <mergeCell ref="K15:M15"/>
    <mergeCell ref="N15:O15"/>
    <mergeCell ref="E12:G12"/>
    <mergeCell ref="H12:J12"/>
    <mergeCell ref="K12:M12"/>
    <mergeCell ref="N12:O12"/>
    <mergeCell ref="P12:S12"/>
    <mergeCell ref="B12:D12"/>
    <mergeCell ref="B13:D13"/>
    <mergeCell ref="E13:G13"/>
    <mergeCell ref="H13:J13"/>
    <mergeCell ref="K13:M13"/>
    <mergeCell ref="N13:O13"/>
    <mergeCell ref="P13:S13"/>
    <mergeCell ref="E11:G11"/>
    <mergeCell ref="H11:J11"/>
    <mergeCell ref="B10:D10"/>
    <mergeCell ref="E10:G10"/>
    <mergeCell ref="H10:J10"/>
    <mergeCell ref="K10:M10"/>
    <mergeCell ref="N10:O10"/>
    <mergeCell ref="P10:S10"/>
    <mergeCell ref="B11:D11"/>
    <mergeCell ref="P11:S11"/>
    <mergeCell ref="K11:M11"/>
    <mergeCell ref="N11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FF"/>
    <outlinePr summaryBelow="0" summaryRight="0"/>
  </sheetPr>
  <dimension ref="A1:U54"/>
  <sheetViews>
    <sheetView showGridLines="0" workbookViewId="0"/>
  </sheetViews>
  <sheetFormatPr defaultColWidth="12.6640625" defaultRowHeight="15.75" customHeight="1"/>
  <cols>
    <col min="1" max="21" width="7.6640625" customWidth="1"/>
  </cols>
  <sheetData>
    <row r="1" spans="1:21" ht="15.75" customHeight="1">
      <c r="A1" s="12" t="str">
        <f ca="1">IFERROR(__xludf.DUMMYFUNCTION("IMPORTRANGE(""https://docs.google.com/spreadsheets/d/11rZfuCcnWwx4mypRymG7SP3aoV-_A_PQ83tyDxi-OiQ/edit?gid=144174392#gid=144174392"", ""DE Bracket Surveyor!A1:U54"")"),"")</f>
        <v/>
      </c>
      <c r="B1" s="28" t="str">
        <f ca="1">IFERROR(__xludf.DUMMYFUNCTION("""COMPUTED_VALUE"""),"Surveyor Main Bracket")</f>
        <v>Surveyor Main Bracket</v>
      </c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>
      <c r="A2" s="12"/>
      <c r="B2" s="21"/>
      <c r="C2" s="21"/>
      <c r="D2" s="21"/>
      <c r="E2" s="21"/>
      <c r="F2" s="21"/>
      <c r="G2" s="12"/>
      <c r="H2" s="12"/>
      <c r="I2" s="12"/>
      <c r="J2" s="12"/>
      <c r="K2" s="29" t="str">
        <f ca="1">IFERROR(__xludf.DUMMYFUNCTION("""COMPUTED_VALUE"""),"Timeout Used")</f>
        <v>Timeout Used</v>
      </c>
      <c r="L2" s="21"/>
      <c r="M2" s="12"/>
      <c r="N2" s="12"/>
      <c r="O2" s="12"/>
      <c r="P2" s="12"/>
      <c r="Q2" s="12"/>
      <c r="R2" s="12"/>
      <c r="S2" s="12"/>
      <c r="T2" s="12"/>
      <c r="U2" s="12"/>
    </row>
    <row r="3" spans="1:21" ht="15.75" customHeight="1">
      <c r="A3" s="12" t="str">
        <f ca="1">IFERROR(__xludf.DUMMYFUNCTION("""COMPUTED_VALUE"""),"Seed #")</f>
        <v>Seed #</v>
      </c>
      <c r="B3" s="23" t="str">
        <f ca="1">IFERROR(__xludf.DUMMYFUNCTION("""COMPUTED_VALUE"""),"Game 1")</f>
        <v>Game 1</v>
      </c>
      <c r="C3" s="24"/>
      <c r="D3" s="24"/>
      <c r="E3" s="20"/>
      <c r="F3" s="21"/>
      <c r="G3" s="21"/>
      <c r="H3" s="20"/>
      <c r="I3" s="21"/>
      <c r="J3" s="21"/>
      <c r="K3" s="20"/>
      <c r="L3" s="21"/>
      <c r="M3" s="21"/>
      <c r="N3" s="20"/>
      <c r="O3" s="21"/>
      <c r="P3" s="20"/>
      <c r="Q3" s="21"/>
      <c r="R3" s="21"/>
      <c r="S3" s="21"/>
      <c r="T3" s="12"/>
      <c r="U3" s="12"/>
    </row>
    <row r="4" spans="1:21" ht="15.75" customHeight="1">
      <c r="A4" s="13">
        <f ca="1">IFERROR(__xludf.DUMMYFUNCTION("""COMPUTED_VALUE"""),1)</f>
        <v>1</v>
      </c>
      <c r="B4" s="20" t="str">
        <f ca="1">IFERROR(__xludf.DUMMYFUNCTION("""COMPUTED_VALUE"""),"700 Galileo")</f>
        <v>700 Galileo</v>
      </c>
      <c r="C4" s="21"/>
      <c r="D4" s="22"/>
      <c r="E4" s="23" t="str">
        <f ca="1">IFERROR(__xludf.DUMMYFUNCTION("""COMPUTED_VALUE"""),"Game 13")</f>
        <v>Game 13</v>
      </c>
      <c r="F4" s="24"/>
      <c r="G4" s="24"/>
      <c r="H4" s="20"/>
      <c r="I4" s="21"/>
      <c r="J4" s="21"/>
      <c r="K4" s="20"/>
      <c r="L4" s="21"/>
      <c r="M4" s="21"/>
      <c r="N4" s="20"/>
      <c r="O4" s="21"/>
      <c r="P4" s="20"/>
      <c r="Q4" s="21"/>
      <c r="R4" s="21"/>
      <c r="S4" s="21"/>
      <c r="T4" s="12"/>
      <c r="U4" s="12"/>
    </row>
    <row r="5" spans="1:21" ht="15.75" customHeight="1">
      <c r="A5" s="13">
        <f ca="1">IFERROR(__xludf.DUMMYFUNCTION("""COMPUTED_VALUE"""),16)</f>
        <v>16</v>
      </c>
      <c r="B5" s="27" t="str">
        <f ca="1">IFERROR(__xludf.DUMMYFUNCTION("""COMPUTED_VALUE"""),"Bye")</f>
        <v>Bye</v>
      </c>
      <c r="C5" s="24"/>
      <c r="D5" s="26"/>
      <c r="E5" s="20" t="str">
        <f ca="1">IFERROR(__xludf.DUMMYFUNCTION("""COMPUTED_VALUE"""),"700 Galileo")</f>
        <v>700 Galileo</v>
      </c>
      <c r="F5" s="21"/>
      <c r="G5" s="22"/>
      <c r="H5" s="20"/>
      <c r="I5" s="21"/>
      <c r="J5" s="21"/>
      <c r="K5" s="20"/>
      <c r="L5" s="21"/>
      <c r="M5" s="21"/>
      <c r="N5" s="20"/>
      <c r="O5" s="21"/>
      <c r="P5" s="20"/>
      <c r="Q5" s="21"/>
      <c r="R5" s="21"/>
      <c r="S5" s="21"/>
      <c r="T5" s="12"/>
      <c r="U5" s="12"/>
    </row>
    <row r="6" spans="1:21" ht="15.75" customHeight="1">
      <c r="A6" s="12"/>
      <c r="B6" s="20"/>
      <c r="C6" s="21"/>
      <c r="D6" s="21"/>
      <c r="E6" s="20"/>
      <c r="F6" s="21"/>
      <c r="G6" s="22"/>
      <c r="H6" s="23" t="str">
        <f ca="1">IFERROR(__xludf.DUMMYFUNCTION("""COMPUTED_VALUE"""),"Game 21")</f>
        <v>Game 21</v>
      </c>
      <c r="I6" s="24"/>
      <c r="J6" s="24"/>
      <c r="K6" s="20"/>
      <c r="L6" s="21"/>
      <c r="M6" s="21"/>
      <c r="N6" s="20"/>
      <c r="O6" s="21"/>
      <c r="P6" s="20"/>
      <c r="Q6" s="21"/>
      <c r="R6" s="21"/>
      <c r="S6" s="21"/>
      <c r="T6" s="12"/>
      <c r="U6" s="12"/>
    </row>
    <row r="7" spans="1:21" ht="15.75" customHeight="1">
      <c r="A7" s="12"/>
      <c r="B7" s="23" t="str">
        <f ca="1">IFERROR(__xludf.DUMMYFUNCTION("""COMPUTED_VALUE"""),"Game 2")</f>
        <v>Game 2</v>
      </c>
      <c r="C7" s="24"/>
      <c r="D7" s="24"/>
      <c r="E7" s="20"/>
      <c r="F7" s="21"/>
      <c r="G7" s="22"/>
      <c r="H7" s="20" t="str">
        <f ca="1">IFERROR(__xludf.DUMMYFUNCTION("""COMPUTED_VALUE"""),"113 Norman ")</f>
        <v xml:space="preserve">113 Norman </v>
      </c>
      <c r="I7" s="21"/>
      <c r="J7" s="22"/>
      <c r="K7" s="20"/>
      <c r="L7" s="21"/>
      <c r="M7" s="21"/>
      <c r="N7" s="20"/>
      <c r="O7" s="21"/>
      <c r="P7" s="20"/>
      <c r="Q7" s="21"/>
      <c r="R7" s="21"/>
      <c r="S7" s="21"/>
      <c r="T7" s="12"/>
      <c r="U7" s="12"/>
    </row>
    <row r="8" spans="1:21" ht="15.75" customHeight="1">
      <c r="A8" s="13">
        <f ca="1">IFERROR(__xludf.DUMMYFUNCTION("""COMPUTED_VALUE"""),8)</f>
        <v>8</v>
      </c>
      <c r="B8" s="20" t="str">
        <f ca="1">IFERROR(__xludf.DUMMYFUNCTION("""COMPUTED_VALUE"""),"113 Norman ")</f>
        <v xml:space="preserve">113 Norman </v>
      </c>
      <c r="C8" s="21"/>
      <c r="D8" s="22"/>
      <c r="E8" s="30" t="str">
        <f ca="1">IFERROR(__xludf.DUMMYFUNCTION("""COMPUTED_VALUE"""),"113 Norman ")</f>
        <v xml:space="preserve">113 Norman </v>
      </c>
      <c r="F8" s="24"/>
      <c r="G8" s="26"/>
      <c r="H8" s="20"/>
      <c r="I8" s="21"/>
      <c r="J8" s="22"/>
      <c r="K8" s="20"/>
      <c r="L8" s="21"/>
      <c r="M8" s="21"/>
      <c r="N8" s="20"/>
      <c r="O8" s="21"/>
      <c r="P8" s="20"/>
      <c r="Q8" s="21"/>
      <c r="R8" s="21"/>
      <c r="S8" s="21"/>
      <c r="T8" s="12"/>
      <c r="U8" s="12"/>
    </row>
    <row r="9" spans="1:21" ht="15.75" customHeight="1">
      <c r="A9" s="13">
        <f ca="1">IFERROR(__xludf.DUMMYFUNCTION("""COMPUTED_VALUE"""),9)</f>
        <v>9</v>
      </c>
      <c r="B9" s="25" t="str">
        <f ca="1">IFERROR(__xludf.DUMMYFUNCTION("""COMPUTED_VALUE"""),"735 Jerome ")</f>
        <v xml:space="preserve">735 Jerome </v>
      </c>
      <c r="C9" s="24"/>
      <c r="D9" s="26"/>
      <c r="E9" s="20"/>
      <c r="F9" s="21"/>
      <c r="G9" s="21"/>
      <c r="H9" s="20"/>
      <c r="I9" s="21"/>
      <c r="J9" s="22"/>
      <c r="K9" s="20"/>
      <c r="L9" s="21"/>
      <c r="M9" s="21"/>
      <c r="N9" s="20"/>
      <c r="O9" s="21"/>
      <c r="P9" s="20"/>
      <c r="Q9" s="21"/>
      <c r="R9" s="21"/>
      <c r="S9" s="21"/>
      <c r="T9" s="12"/>
      <c r="U9" s="12"/>
    </row>
    <row r="10" spans="1:21" ht="15.75" customHeight="1">
      <c r="A10" s="12"/>
      <c r="B10" s="20"/>
      <c r="C10" s="21"/>
      <c r="D10" s="21"/>
      <c r="E10" s="20"/>
      <c r="F10" s="21"/>
      <c r="G10" s="21"/>
      <c r="H10" s="20"/>
      <c r="I10" s="21"/>
      <c r="J10" s="22"/>
      <c r="K10" s="23" t="str">
        <f ca="1">IFERROR(__xludf.DUMMYFUNCTION("""COMPUTED_VALUE"""),"Game 27")</f>
        <v>Game 27</v>
      </c>
      <c r="L10" s="24"/>
      <c r="M10" s="24"/>
      <c r="N10" s="20"/>
      <c r="O10" s="21"/>
      <c r="P10" s="20"/>
      <c r="Q10" s="21"/>
      <c r="R10" s="21"/>
      <c r="S10" s="21"/>
      <c r="T10" s="12"/>
      <c r="U10" s="12"/>
    </row>
    <row r="11" spans="1:21" ht="15.75" customHeight="1">
      <c r="A11" s="12"/>
      <c r="B11" s="23" t="str">
        <f ca="1">IFERROR(__xludf.DUMMYFUNCTION("""COMPUTED_VALUE"""),"Game 3")</f>
        <v>Game 3</v>
      </c>
      <c r="C11" s="24"/>
      <c r="D11" s="24"/>
      <c r="E11" s="20"/>
      <c r="F11" s="21"/>
      <c r="G11" s="21"/>
      <c r="H11" s="20"/>
      <c r="I11" s="21"/>
      <c r="J11" s="22"/>
      <c r="K11" s="20" t="str">
        <f ca="1">IFERROR(__xludf.DUMMYFUNCTION("""COMPUTED_VALUE"""),"113 Norman ")</f>
        <v xml:space="preserve">113 Norman </v>
      </c>
      <c r="L11" s="21"/>
      <c r="M11" s="22"/>
      <c r="N11" s="20"/>
      <c r="O11" s="21"/>
      <c r="P11" s="20"/>
      <c r="Q11" s="21"/>
      <c r="R11" s="21"/>
      <c r="S11" s="21"/>
      <c r="T11" s="12"/>
      <c r="U11" s="12"/>
    </row>
    <row r="12" spans="1:21" ht="15.75" customHeight="1">
      <c r="A12" s="13">
        <f ca="1">IFERROR(__xludf.DUMMYFUNCTION("""COMPUTED_VALUE"""),5)</f>
        <v>5</v>
      </c>
      <c r="B12" s="20" t="str">
        <f ca="1">IFERROR(__xludf.DUMMYFUNCTION("""COMPUTED_VALUE"""),"844 La Quin")</f>
        <v>844 La Quin</v>
      </c>
      <c r="C12" s="21"/>
      <c r="D12" s="22"/>
      <c r="E12" s="23" t="str">
        <f ca="1">IFERROR(__xludf.DUMMYFUNCTION("""COMPUTED_VALUE"""),"Game 14")</f>
        <v>Game 14</v>
      </c>
      <c r="F12" s="24"/>
      <c r="G12" s="24"/>
      <c r="H12" s="20"/>
      <c r="I12" s="21"/>
      <c r="J12" s="22"/>
      <c r="K12" s="20"/>
      <c r="L12" s="21"/>
      <c r="M12" s="22"/>
      <c r="N12" s="20"/>
      <c r="O12" s="21"/>
      <c r="P12" s="20"/>
      <c r="Q12" s="21"/>
      <c r="R12" s="21"/>
      <c r="S12" s="21"/>
      <c r="T12" s="12"/>
      <c r="U12" s="12"/>
    </row>
    <row r="13" spans="1:21" ht="15.75" customHeight="1">
      <c r="A13" s="13">
        <f ca="1">IFERROR(__xludf.DUMMYFUNCTION("""COMPUTED_VALUE"""),12)</f>
        <v>12</v>
      </c>
      <c r="B13" s="27" t="str">
        <f ca="1">IFERROR(__xludf.DUMMYFUNCTION("""COMPUTED_VALUE"""),"Bye")</f>
        <v>Bye</v>
      </c>
      <c r="C13" s="24"/>
      <c r="D13" s="26"/>
      <c r="E13" s="20" t="str">
        <f ca="1">IFERROR(__xludf.DUMMYFUNCTION("""COMPUTED_VALUE"""),"844 La Quin")</f>
        <v>844 La Quin</v>
      </c>
      <c r="F13" s="21"/>
      <c r="G13" s="22"/>
      <c r="H13" s="20"/>
      <c r="I13" s="21"/>
      <c r="J13" s="22"/>
      <c r="K13" s="20"/>
      <c r="L13" s="21"/>
      <c r="M13" s="22"/>
      <c r="N13" s="20"/>
      <c r="O13" s="21"/>
      <c r="P13" s="20"/>
      <c r="Q13" s="21"/>
      <c r="R13" s="21"/>
      <c r="S13" s="21"/>
      <c r="T13" s="12"/>
      <c r="U13" s="12"/>
    </row>
    <row r="14" spans="1:21" ht="15.75" customHeight="1">
      <c r="A14" s="12"/>
      <c r="B14" s="20"/>
      <c r="C14" s="21"/>
      <c r="D14" s="21"/>
      <c r="E14" s="20"/>
      <c r="F14" s="21"/>
      <c r="G14" s="22"/>
      <c r="H14" s="25" t="str">
        <f ca="1">IFERROR(__xludf.DUMMYFUNCTION("""COMPUTED_VALUE"""),"843 La Quin")</f>
        <v>843 La Quin</v>
      </c>
      <c r="I14" s="24"/>
      <c r="J14" s="26"/>
      <c r="K14" s="20"/>
      <c r="L14" s="21"/>
      <c r="M14" s="22"/>
      <c r="N14" s="20"/>
      <c r="O14" s="21"/>
      <c r="P14" s="20"/>
      <c r="Q14" s="21"/>
      <c r="R14" s="21"/>
      <c r="S14" s="21"/>
      <c r="T14" s="12"/>
      <c r="U14" s="12"/>
    </row>
    <row r="15" spans="1:21" ht="15.75" customHeight="1">
      <c r="A15" s="12"/>
      <c r="B15" s="23" t="str">
        <f ca="1">IFERROR(__xludf.DUMMYFUNCTION("""COMPUTED_VALUE"""),"Game 4")</f>
        <v>Game 4</v>
      </c>
      <c r="C15" s="24"/>
      <c r="D15" s="24"/>
      <c r="E15" s="20"/>
      <c r="F15" s="21"/>
      <c r="G15" s="22"/>
      <c r="H15" s="20"/>
      <c r="I15" s="21"/>
      <c r="J15" s="21"/>
      <c r="K15" s="20"/>
      <c r="L15" s="21"/>
      <c r="M15" s="22"/>
      <c r="N15" s="20"/>
      <c r="O15" s="21"/>
      <c r="P15" s="20"/>
      <c r="Q15" s="21"/>
      <c r="R15" s="21"/>
      <c r="S15" s="21"/>
      <c r="T15" s="12"/>
      <c r="U15" s="12"/>
    </row>
    <row r="16" spans="1:21" ht="15.75" customHeight="1">
      <c r="A16" s="13">
        <f ca="1">IFERROR(__xludf.DUMMYFUNCTION("""COMPUTED_VALUE"""),4)</f>
        <v>4</v>
      </c>
      <c r="B16" s="20" t="str">
        <f ca="1">IFERROR(__xludf.DUMMYFUNCTION("""COMPUTED_VALUE"""),"843 La Quin")</f>
        <v>843 La Quin</v>
      </c>
      <c r="C16" s="21"/>
      <c r="D16" s="22"/>
      <c r="E16" s="25" t="str">
        <f ca="1">IFERROR(__xludf.DUMMYFUNCTION("""COMPUTED_VALUE"""),"843 La Quin")</f>
        <v>843 La Quin</v>
      </c>
      <c r="F16" s="24"/>
      <c r="G16" s="26"/>
      <c r="H16" s="20"/>
      <c r="I16" s="21"/>
      <c r="J16" s="21"/>
      <c r="K16" s="20"/>
      <c r="L16" s="21"/>
      <c r="M16" s="22"/>
      <c r="N16" s="20"/>
      <c r="O16" s="21"/>
      <c r="P16" s="20"/>
      <c r="Q16" s="21"/>
      <c r="R16" s="21"/>
      <c r="S16" s="21"/>
      <c r="T16" s="12"/>
      <c r="U16" s="12"/>
    </row>
    <row r="17" spans="1:21" ht="15.75" customHeight="1">
      <c r="A17" s="13">
        <f ca="1">IFERROR(__xludf.DUMMYFUNCTION("""COMPUTED_VALUE"""),13)</f>
        <v>13</v>
      </c>
      <c r="B17" s="27" t="str">
        <f ca="1">IFERROR(__xludf.DUMMYFUNCTION("""COMPUTED_VALUE"""),"Bye")</f>
        <v>Bye</v>
      </c>
      <c r="C17" s="24"/>
      <c r="D17" s="26"/>
      <c r="E17" s="20"/>
      <c r="F17" s="21"/>
      <c r="G17" s="21"/>
      <c r="H17" s="20"/>
      <c r="I17" s="21"/>
      <c r="J17" s="21"/>
      <c r="K17" s="20"/>
      <c r="L17" s="21"/>
      <c r="M17" s="22"/>
      <c r="N17" s="20"/>
      <c r="O17" s="21"/>
      <c r="P17" s="20"/>
      <c r="Q17" s="21"/>
      <c r="R17" s="21"/>
      <c r="S17" s="21"/>
      <c r="T17" s="12"/>
      <c r="U17" s="12"/>
    </row>
    <row r="18" spans="1:21" ht="15.75" customHeight="1">
      <c r="A18" s="12"/>
      <c r="B18" s="20"/>
      <c r="C18" s="21"/>
      <c r="D18" s="21"/>
      <c r="E18" s="20"/>
      <c r="F18" s="21"/>
      <c r="G18" s="21"/>
      <c r="H18" s="20"/>
      <c r="I18" s="21"/>
      <c r="J18" s="21"/>
      <c r="K18" s="20"/>
      <c r="L18" s="21"/>
      <c r="M18" s="22"/>
      <c r="N18" s="23" t="str">
        <f ca="1">IFERROR(__xludf.DUMMYFUNCTION("""COMPUTED_VALUE"""),"Game 30")</f>
        <v>Game 30</v>
      </c>
      <c r="O18" s="24"/>
      <c r="P18" s="20"/>
      <c r="Q18" s="21"/>
      <c r="R18" s="21"/>
      <c r="S18" s="21"/>
      <c r="T18" s="12"/>
      <c r="U18" s="12"/>
    </row>
    <row r="19" spans="1:21" ht="15.75" customHeight="1">
      <c r="A19" s="12"/>
      <c r="B19" s="23" t="str">
        <f ca="1">IFERROR(__xludf.DUMMYFUNCTION("""COMPUTED_VALUE"""),"Game 5")</f>
        <v>Game 5</v>
      </c>
      <c r="C19" s="24"/>
      <c r="D19" s="24"/>
      <c r="E19" s="20"/>
      <c r="F19" s="21"/>
      <c r="G19" s="21"/>
      <c r="H19" s="20"/>
      <c r="I19" s="21"/>
      <c r="J19" s="21"/>
      <c r="K19" s="20"/>
      <c r="L19" s="21"/>
      <c r="M19" s="22"/>
      <c r="N19" s="20" t="str">
        <f ca="1">IFERROR(__xludf.DUMMYFUNCTION("""COMPUTED_VALUE"""),"340 Rhoades")</f>
        <v>340 Rhoades</v>
      </c>
      <c r="O19" s="22"/>
      <c r="P19" s="20"/>
      <c r="Q19" s="21"/>
      <c r="R19" s="21"/>
      <c r="S19" s="21"/>
      <c r="T19" s="12"/>
      <c r="U19" s="12"/>
    </row>
    <row r="20" spans="1:21" ht="15.75" customHeight="1">
      <c r="A20" s="13">
        <f ca="1">IFERROR(__xludf.DUMMYFUNCTION("""COMPUTED_VALUE"""),3)</f>
        <v>3</v>
      </c>
      <c r="B20" s="20" t="str">
        <f ca="1">IFERROR(__xludf.DUMMYFUNCTION("""COMPUTED_VALUE"""),"821 Jerome ")</f>
        <v xml:space="preserve">821 Jerome </v>
      </c>
      <c r="C20" s="21"/>
      <c r="D20" s="22"/>
      <c r="E20" s="23" t="str">
        <f ca="1">IFERROR(__xludf.DUMMYFUNCTION("""COMPUTED_VALUE"""),"Game 15")</f>
        <v>Game 15</v>
      </c>
      <c r="F20" s="24"/>
      <c r="G20" s="24"/>
      <c r="H20" s="20"/>
      <c r="I20" s="21"/>
      <c r="J20" s="21"/>
      <c r="K20" s="20"/>
      <c r="L20" s="21"/>
      <c r="M20" s="22"/>
      <c r="N20" s="20"/>
      <c r="O20" s="22"/>
      <c r="P20" s="20"/>
      <c r="Q20" s="21"/>
      <c r="R20" s="21"/>
      <c r="S20" s="21"/>
      <c r="T20" s="12"/>
      <c r="U20" s="12"/>
    </row>
    <row r="21" spans="1:21" ht="15.75" customHeight="1">
      <c r="A21" s="13">
        <f ca="1">IFERROR(__xludf.DUMMYFUNCTION("""COMPUTED_VALUE"""),14)</f>
        <v>14</v>
      </c>
      <c r="B21" s="27" t="str">
        <f ca="1">IFERROR(__xludf.DUMMYFUNCTION("""COMPUTED_VALUE"""),"Bye")</f>
        <v>Bye</v>
      </c>
      <c r="C21" s="24"/>
      <c r="D21" s="26"/>
      <c r="E21" s="20" t="str">
        <f ca="1">IFERROR(__xludf.DUMMYFUNCTION("""COMPUTED_VALUE"""),"821 Jerome ")</f>
        <v xml:space="preserve">821 Jerome </v>
      </c>
      <c r="F21" s="21"/>
      <c r="G21" s="22"/>
      <c r="H21" s="20"/>
      <c r="I21" s="21"/>
      <c r="J21" s="21"/>
      <c r="K21" s="20"/>
      <c r="L21" s="21"/>
      <c r="M21" s="22"/>
      <c r="N21" s="20"/>
      <c r="O21" s="22"/>
      <c r="P21" s="20"/>
      <c r="Q21" s="21"/>
      <c r="R21" s="21"/>
      <c r="S21" s="21"/>
      <c r="T21" s="12"/>
      <c r="U21" s="12"/>
    </row>
    <row r="22" spans="1:21" ht="15.75" customHeight="1">
      <c r="A22" s="12"/>
      <c r="B22" s="20"/>
      <c r="C22" s="21"/>
      <c r="D22" s="21"/>
      <c r="E22" s="20"/>
      <c r="F22" s="21"/>
      <c r="G22" s="22"/>
      <c r="H22" s="23" t="str">
        <f ca="1">IFERROR(__xludf.DUMMYFUNCTION("""COMPUTED_VALUE"""),"Game 22")</f>
        <v>Game 22</v>
      </c>
      <c r="I22" s="24"/>
      <c r="J22" s="24"/>
      <c r="K22" s="20"/>
      <c r="L22" s="21"/>
      <c r="M22" s="22"/>
      <c r="N22" s="20"/>
      <c r="O22" s="22"/>
      <c r="P22" s="20"/>
      <c r="Q22" s="21"/>
      <c r="R22" s="21"/>
      <c r="S22" s="21"/>
      <c r="T22" s="12"/>
      <c r="U22" s="12"/>
    </row>
    <row r="23" spans="1:21" ht="14.4">
      <c r="A23" s="12"/>
      <c r="B23" s="23" t="str">
        <f ca="1">IFERROR(__xludf.DUMMYFUNCTION("""COMPUTED_VALUE"""),"Game 6")</f>
        <v>Game 6</v>
      </c>
      <c r="C23" s="24"/>
      <c r="D23" s="24"/>
      <c r="E23" s="20"/>
      <c r="F23" s="21"/>
      <c r="G23" s="22"/>
      <c r="H23" s="20" t="str">
        <f ca="1">IFERROR(__xludf.DUMMYFUNCTION("""COMPUTED_VALUE"""),"877 Great M")</f>
        <v>877 Great M</v>
      </c>
      <c r="I23" s="21"/>
      <c r="J23" s="22"/>
      <c r="K23" s="20"/>
      <c r="L23" s="21"/>
      <c r="M23" s="22"/>
      <c r="N23" s="20"/>
      <c r="O23" s="22"/>
      <c r="P23" s="20"/>
      <c r="Q23" s="21"/>
      <c r="R23" s="21"/>
      <c r="S23" s="21"/>
      <c r="T23" s="12"/>
      <c r="U23" s="12"/>
    </row>
    <row r="24" spans="1:21" ht="14.4">
      <c r="A24" s="13">
        <f ca="1">IFERROR(__xludf.DUMMYFUNCTION("""COMPUTED_VALUE"""),6)</f>
        <v>6</v>
      </c>
      <c r="B24" s="20" t="str">
        <f ca="1">IFERROR(__xludf.DUMMYFUNCTION("""COMPUTED_VALUE"""),"877 Great M")</f>
        <v>877 Great M</v>
      </c>
      <c r="C24" s="21"/>
      <c r="D24" s="22"/>
      <c r="E24" s="25" t="str">
        <f ca="1">IFERROR(__xludf.DUMMYFUNCTION("""COMPUTED_VALUE"""),"877 Great M")</f>
        <v>877 Great M</v>
      </c>
      <c r="F24" s="24"/>
      <c r="G24" s="26"/>
      <c r="H24" s="20"/>
      <c r="I24" s="21"/>
      <c r="J24" s="22"/>
      <c r="K24" s="20"/>
      <c r="L24" s="21"/>
      <c r="M24" s="22"/>
      <c r="N24" s="20"/>
      <c r="O24" s="22"/>
      <c r="P24" s="20"/>
      <c r="Q24" s="21"/>
      <c r="R24" s="21"/>
      <c r="S24" s="21"/>
      <c r="T24" s="20"/>
      <c r="U24" s="21"/>
    </row>
    <row r="25" spans="1:21" ht="14.4">
      <c r="A25" s="13">
        <f ca="1">IFERROR(__xludf.DUMMYFUNCTION("""COMPUTED_VALUE"""),11)</f>
        <v>11</v>
      </c>
      <c r="B25" s="27" t="str">
        <f ca="1">IFERROR(__xludf.DUMMYFUNCTION("""COMPUTED_VALUE"""),"Bye")</f>
        <v>Bye</v>
      </c>
      <c r="C25" s="24"/>
      <c r="D25" s="26"/>
      <c r="E25" s="20"/>
      <c r="F25" s="21"/>
      <c r="G25" s="21"/>
      <c r="H25" s="20"/>
      <c r="I25" s="21"/>
      <c r="J25" s="22"/>
      <c r="K25" s="20"/>
      <c r="L25" s="21"/>
      <c r="M25" s="22"/>
      <c r="N25" s="20"/>
      <c r="O25" s="22"/>
      <c r="P25" s="20"/>
      <c r="Q25" s="21"/>
      <c r="R25" s="21"/>
      <c r="S25" s="21"/>
      <c r="T25" s="20"/>
      <c r="U25" s="21"/>
    </row>
    <row r="26" spans="1:21" ht="14.4">
      <c r="A26" s="12"/>
      <c r="B26" s="20"/>
      <c r="C26" s="21"/>
      <c r="D26" s="21"/>
      <c r="E26" s="20"/>
      <c r="F26" s="21"/>
      <c r="G26" s="21"/>
      <c r="H26" s="20"/>
      <c r="I26" s="21"/>
      <c r="J26" s="22"/>
      <c r="K26" s="25" t="str">
        <f ca="1">IFERROR(__xludf.DUMMYFUNCTION("""COMPUTED_VALUE"""),"340 Rhoades")</f>
        <v>340 Rhoades</v>
      </c>
      <c r="L26" s="24"/>
      <c r="M26" s="26"/>
      <c r="N26" s="20"/>
      <c r="O26" s="22"/>
      <c r="P26" s="20"/>
      <c r="Q26" s="21"/>
      <c r="R26" s="21"/>
      <c r="S26" s="21"/>
      <c r="T26" s="20"/>
      <c r="U26" s="21"/>
    </row>
    <row r="27" spans="1:21" ht="14.4">
      <c r="A27" s="12"/>
      <c r="B27" s="23" t="str">
        <f ca="1">IFERROR(__xludf.DUMMYFUNCTION("""COMPUTED_VALUE"""),"Game 7")</f>
        <v>Game 7</v>
      </c>
      <c r="C27" s="24"/>
      <c r="D27" s="24"/>
      <c r="E27" s="20"/>
      <c r="F27" s="21"/>
      <c r="G27" s="21"/>
      <c r="H27" s="20"/>
      <c r="I27" s="21"/>
      <c r="J27" s="22"/>
      <c r="K27" s="20"/>
      <c r="L27" s="21"/>
      <c r="M27" s="21"/>
      <c r="N27" s="20"/>
      <c r="O27" s="22"/>
      <c r="P27" s="20"/>
      <c r="Q27" s="21"/>
      <c r="R27" s="21"/>
      <c r="S27" s="21"/>
      <c r="T27" s="20"/>
      <c r="U27" s="21"/>
    </row>
    <row r="28" spans="1:21" ht="14.4">
      <c r="A28" s="13">
        <f ca="1">IFERROR(__xludf.DUMMYFUNCTION("""COMPUTED_VALUE"""),7)</f>
        <v>7</v>
      </c>
      <c r="B28" s="20" t="str">
        <f ca="1">IFERROR(__xludf.DUMMYFUNCTION("""COMPUTED_VALUE"""),"752 Galileo")</f>
        <v>752 Galileo</v>
      </c>
      <c r="C28" s="21"/>
      <c r="D28" s="22"/>
      <c r="E28" s="23" t="str">
        <f ca="1">IFERROR(__xludf.DUMMYFUNCTION("""COMPUTED_VALUE"""),"Game 16")</f>
        <v>Game 16</v>
      </c>
      <c r="F28" s="24"/>
      <c r="G28" s="24"/>
      <c r="H28" s="20"/>
      <c r="I28" s="21"/>
      <c r="J28" s="22"/>
      <c r="K28" s="20"/>
      <c r="L28" s="21"/>
      <c r="M28" s="21"/>
      <c r="N28" s="20"/>
      <c r="O28" s="22"/>
      <c r="P28" s="23" t="str">
        <f ca="1">IFERROR(__xludf.DUMMYFUNCTION("""COMPUTED_VALUE"""),"Game 31")</f>
        <v>Game 31</v>
      </c>
      <c r="Q28" s="24"/>
      <c r="R28" s="24"/>
      <c r="S28" s="12"/>
      <c r="T28" s="12"/>
      <c r="U28" s="12"/>
    </row>
    <row r="29" spans="1:21" ht="14.4">
      <c r="A29" s="13">
        <f ca="1">IFERROR(__xludf.DUMMYFUNCTION("""COMPUTED_VALUE"""),10)</f>
        <v>10</v>
      </c>
      <c r="B29" s="27" t="str">
        <f ca="1">IFERROR(__xludf.DUMMYFUNCTION("""COMPUTED_VALUE"""),"Bye")</f>
        <v>Bye</v>
      </c>
      <c r="C29" s="24"/>
      <c r="D29" s="26"/>
      <c r="E29" s="20" t="str">
        <f ca="1">IFERROR(__xludf.DUMMYFUNCTION("""COMPUTED_VALUE"""),"752 Galileo")</f>
        <v>752 Galileo</v>
      </c>
      <c r="F29" s="21"/>
      <c r="G29" s="22"/>
      <c r="H29" s="20"/>
      <c r="I29" s="21"/>
      <c r="J29" s="22"/>
      <c r="K29" s="20"/>
      <c r="L29" s="21"/>
      <c r="M29" s="21"/>
      <c r="N29" s="20"/>
      <c r="O29" s="22"/>
      <c r="P29" s="12"/>
      <c r="Q29" s="20" t="str">
        <f ca="1">IFERROR(__xludf.DUMMYFUNCTION("""COMPUTED_VALUE"""),"340 Rhoades")</f>
        <v>340 Rhoades</v>
      </c>
      <c r="R29" s="22"/>
      <c r="S29" s="12"/>
      <c r="T29" s="12"/>
      <c r="U29" s="12"/>
    </row>
    <row r="30" spans="1:21" ht="14.4">
      <c r="A30" s="12"/>
      <c r="B30" s="20"/>
      <c r="C30" s="21"/>
      <c r="D30" s="21"/>
      <c r="E30" s="20"/>
      <c r="F30" s="21"/>
      <c r="G30" s="22"/>
      <c r="H30" s="25" t="str">
        <f ca="1">IFERROR(__xludf.DUMMYFUNCTION("""COMPUTED_VALUE"""),"340 Rhoades")</f>
        <v>340 Rhoades</v>
      </c>
      <c r="I30" s="24"/>
      <c r="J30" s="26"/>
      <c r="K30" s="20"/>
      <c r="L30" s="21"/>
      <c r="M30" s="21"/>
      <c r="N30" s="20"/>
      <c r="O30" s="22"/>
      <c r="P30" s="12"/>
      <c r="Q30" s="20"/>
      <c r="R30" s="22"/>
      <c r="S30" s="12"/>
      <c r="T30" s="12"/>
      <c r="U30" s="12"/>
    </row>
    <row r="31" spans="1:21" ht="14.4">
      <c r="A31" s="12"/>
      <c r="B31" s="23" t="str">
        <f ca="1">IFERROR(__xludf.DUMMYFUNCTION("""COMPUTED_VALUE"""),"Game 8")</f>
        <v>Game 8</v>
      </c>
      <c r="C31" s="24"/>
      <c r="D31" s="24"/>
      <c r="E31" s="20"/>
      <c r="F31" s="21"/>
      <c r="G31" s="22"/>
      <c r="H31" s="20"/>
      <c r="I31" s="21"/>
      <c r="J31" s="21"/>
      <c r="K31" s="20"/>
      <c r="L31" s="21"/>
      <c r="M31" s="21"/>
      <c r="N31" s="20"/>
      <c r="O31" s="22"/>
      <c r="P31" s="12"/>
      <c r="Q31" s="20"/>
      <c r="R31" s="22"/>
      <c r="S31" s="25" t="str">
        <f ca="1">IFERROR(__xludf.DUMMYFUNCTION("""COMPUTED_VALUE"""),"340 Rhoades")</f>
        <v>340 Rhoades</v>
      </c>
      <c r="T31" s="24"/>
      <c r="U31" s="24"/>
    </row>
    <row r="32" spans="1:21" ht="14.4">
      <c r="A32" s="13">
        <f ca="1">IFERROR(__xludf.DUMMYFUNCTION("""COMPUTED_VALUE"""),2)</f>
        <v>2</v>
      </c>
      <c r="B32" s="20" t="str">
        <f ca="1">IFERROR(__xludf.DUMMYFUNCTION("""COMPUTED_VALUE"""),"340 Rhoades")</f>
        <v>340 Rhoades</v>
      </c>
      <c r="C32" s="21"/>
      <c r="D32" s="22"/>
      <c r="E32" s="25" t="str">
        <f ca="1">IFERROR(__xludf.DUMMYFUNCTION("""COMPUTED_VALUE"""),"340 Rhoades")</f>
        <v>340 Rhoades</v>
      </c>
      <c r="F32" s="24"/>
      <c r="G32" s="26"/>
      <c r="H32" s="20"/>
      <c r="I32" s="21"/>
      <c r="J32" s="21"/>
      <c r="K32" s="20"/>
      <c r="L32" s="21"/>
      <c r="M32" s="21"/>
      <c r="N32" s="20"/>
      <c r="O32" s="22"/>
      <c r="P32" s="12"/>
      <c r="Q32" s="20"/>
      <c r="R32" s="22"/>
      <c r="S32" s="12"/>
      <c r="T32" s="12"/>
      <c r="U32" s="12"/>
    </row>
    <row r="33" spans="1:21" ht="14.4">
      <c r="A33" s="13">
        <f ca="1">IFERROR(__xludf.DUMMYFUNCTION("""COMPUTED_VALUE"""),15)</f>
        <v>15</v>
      </c>
      <c r="B33" s="27" t="str">
        <f ca="1">IFERROR(__xludf.DUMMYFUNCTION("""COMPUTED_VALUE"""),"Bye")</f>
        <v>Bye</v>
      </c>
      <c r="C33" s="24"/>
      <c r="D33" s="26"/>
      <c r="E33" s="20"/>
      <c r="F33" s="21"/>
      <c r="G33" s="21"/>
      <c r="H33" s="20"/>
      <c r="I33" s="21"/>
      <c r="J33" s="21"/>
      <c r="K33" s="20"/>
      <c r="L33" s="21"/>
      <c r="M33" s="21"/>
      <c r="N33" s="20"/>
      <c r="O33" s="22"/>
      <c r="P33" s="12"/>
      <c r="Q33" s="20"/>
      <c r="R33" s="22"/>
      <c r="S33" s="12"/>
      <c r="T33" s="12"/>
      <c r="U33" s="12"/>
    </row>
    <row r="34" spans="1:21" ht="14.4">
      <c r="A34" s="14"/>
      <c r="B34" s="31"/>
      <c r="C34" s="32"/>
      <c r="D34" s="32"/>
      <c r="E34" s="31"/>
      <c r="F34" s="32"/>
      <c r="G34" s="32"/>
      <c r="H34" s="31"/>
      <c r="I34" s="32"/>
      <c r="J34" s="32"/>
      <c r="K34" s="31"/>
      <c r="L34" s="32"/>
      <c r="M34" s="32"/>
      <c r="N34" s="14"/>
      <c r="O34" s="15"/>
      <c r="P34" s="12"/>
      <c r="Q34" s="25" t="str">
        <f ca="1">IFERROR(__xludf.DUMMYFUNCTION("""COMPUTED_VALUE"""),"")</f>
        <v/>
      </c>
      <c r="R34" s="26"/>
      <c r="S34" s="12"/>
      <c r="T34" s="12"/>
      <c r="U34" s="12"/>
    </row>
    <row r="35" spans="1:21" ht="14.4">
      <c r="A35" s="12"/>
      <c r="B35" s="28" t="str">
        <f ca="1">IFERROR(__xludf.DUMMYFUNCTION("""COMPUTED_VALUE"""),"Surveyor Consolation Bracket")</f>
        <v>Surveyor Consolation Bracket</v>
      </c>
      <c r="C35" s="21"/>
      <c r="D35" s="21"/>
      <c r="E35" s="21"/>
      <c r="F35" s="21"/>
      <c r="G35" s="21"/>
      <c r="H35" s="20"/>
      <c r="I35" s="21"/>
      <c r="J35" s="20"/>
      <c r="K35" s="21"/>
      <c r="L35" s="23" t="str">
        <f ca="1">IFERROR(__xludf.DUMMYFUNCTION("""COMPUTED_VALUE"""),"Game 29")</f>
        <v>Game 29</v>
      </c>
      <c r="M35" s="24"/>
      <c r="N35" s="12"/>
      <c r="O35" s="16"/>
      <c r="P35" s="12"/>
      <c r="Q35" s="12"/>
      <c r="R35" s="12"/>
      <c r="S35" s="12"/>
      <c r="T35" s="12"/>
      <c r="U35" s="12"/>
    </row>
    <row r="36" spans="1:21" ht="14.4">
      <c r="A36" s="12"/>
      <c r="B36" s="21"/>
      <c r="C36" s="21"/>
      <c r="D36" s="21"/>
      <c r="E36" s="21"/>
      <c r="F36" s="21"/>
      <c r="G36" s="21"/>
      <c r="H36" s="20"/>
      <c r="I36" s="21"/>
      <c r="J36" s="20"/>
      <c r="K36" s="21"/>
      <c r="L36" s="20" t="str">
        <f ca="1">IFERROR(__xludf.DUMMYFUNCTION("""COMPUTED_VALUE"""),"113 Norman ")</f>
        <v xml:space="preserve">113 Norman </v>
      </c>
      <c r="M36" s="22"/>
      <c r="N36" s="12"/>
      <c r="O36" s="16"/>
      <c r="P36" s="12"/>
      <c r="Q36" s="12"/>
      <c r="R36" s="12"/>
      <c r="S36" s="12"/>
      <c r="T36" s="12"/>
      <c r="U36" s="12"/>
    </row>
    <row r="37" spans="1:21" ht="14.4">
      <c r="A37" s="12"/>
      <c r="B37" s="20"/>
      <c r="C37" s="21"/>
      <c r="D37" s="20"/>
      <c r="E37" s="21"/>
      <c r="F37" s="20"/>
      <c r="G37" s="21"/>
      <c r="H37" s="33" t="str">
        <f ca="1">IFERROR(__xludf.DUMMYFUNCTION("""COMPUTED_VALUE"""),"Game 25")</f>
        <v>Game 25</v>
      </c>
      <c r="I37" s="24"/>
      <c r="J37" s="20"/>
      <c r="K37" s="21"/>
      <c r="L37" s="20"/>
      <c r="M37" s="22"/>
      <c r="N37" s="12"/>
      <c r="O37" s="16"/>
      <c r="P37" s="12"/>
      <c r="Q37" s="12"/>
      <c r="R37" s="12"/>
      <c r="S37" s="12"/>
      <c r="T37" s="12"/>
      <c r="U37" s="12"/>
    </row>
    <row r="38" spans="1:21" ht="14.4">
      <c r="A38" s="12"/>
      <c r="B38" s="20"/>
      <c r="C38" s="21"/>
      <c r="D38" s="23" t="str">
        <f ca="1">IFERROR(__xludf.DUMMYFUNCTION("""COMPUTED_VALUE"""),"Game 17")</f>
        <v>Game 17</v>
      </c>
      <c r="E38" s="24"/>
      <c r="F38" s="20"/>
      <c r="G38" s="21"/>
      <c r="H38" s="20" t="str">
        <f ca="1">IFERROR(__xludf.DUMMYFUNCTION("""COMPUTED_VALUE"""),"843 La Quin")</f>
        <v>843 La Quin</v>
      </c>
      <c r="I38" s="22"/>
      <c r="J38" s="20"/>
      <c r="K38" s="21"/>
      <c r="L38" s="20"/>
      <c r="M38" s="22"/>
      <c r="N38" s="12"/>
      <c r="O38" s="16"/>
      <c r="P38" s="12"/>
      <c r="Q38" s="12"/>
      <c r="R38" s="12"/>
      <c r="S38" s="12"/>
      <c r="T38" s="20"/>
      <c r="U38" s="21"/>
    </row>
    <row r="39" spans="1:21" ht="14.4">
      <c r="A39" s="12"/>
      <c r="B39" s="23" t="str">
        <f ca="1">IFERROR(__xludf.DUMMYFUNCTION("""COMPUTED_VALUE"""),"Game 9")</f>
        <v>Game 9</v>
      </c>
      <c r="C39" s="24"/>
      <c r="D39" s="20" t="str">
        <f ca="1">IFERROR(__xludf.DUMMYFUNCTION("""COMPUTED_VALUE"""),"752 Galileo")</f>
        <v>752 Galileo</v>
      </c>
      <c r="E39" s="22"/>
      <c r="F39" s="23" t="str">
        <f ca="1">IFERROR(__xludf.DUMMYFUNCTION("""COMPUTED_VALUE"""),"Game 23")</f>
        <v>Game 23</v>
      </c>
      <c r="G39" s="24"/>
      <c r="H39" s="20"/>
      <c r="I39" s="22"/>
      <c r="J39" s="23" t="str">
        <f ca="1">IFERROR(__xludf.DUMMYFUNCTION("""COMPUTED_VALUE"""),"Game 28")</f>
        <v>Game 28</v>
      </c>
      <c r="K39" s="24"/>
      <c r="L39" s="20"/>
      <c r="M39" s="22"/>
      <c r="N39" s="25" t="str">
        <f ca="1">IFERROR(__xludf.DUMMYFUNCTION("""COMPUTED_VALUE"""),"113 Norman ")</f>
        <v xml:space="preserve">113 Norman </v>
      </c>
      <c r="O39" s="26"/>
      <c r="P39" s="12"/>
      <c r="Q39" s="12"/>
      <c r="R39" s="12"/>
      <c r="S39" s="12"/>
      <c r="T39" s="20"/>
      <c r="U39" s="21"/>
    </row>
    <row r="40" spans="1:21" ht="14.4">
      <c r="A40" s="12"/>
      <c r="B40" s="20" t="str">
        <f ca="1">IFERROR(__xludf.DUMMYFUNCTION("""COMPUTED_VALUE"""),"Bye")</f>
        <v>Bye</v>
      </c>
      <c r="C40" s="22"/>
      <c r="D40" s="25" t="str">
        <f ca="1">IFERROR(__xludf.DUMMYFUNCTION("""COMPUTED_VALUE"""),"735 Jerome ")</f>
        <v xml:space="preserve">735 Jerome </v>
      </c>
      <c r="E40" s="26"/>
      <c r="F40" s="20" t="str">
        <f ca="1">IFERROR(__xludf.DUMMYFUNCTION("""COMPUTED_VALUE"""),"752 Galileo")</f>
        <v>752 Galileo</v>
      </c>
      <c r="G40" s="22"/>
      <c r="H40" s="20"/>
      <c r="I40" s="22"/>
      <c r="J40" s="20" t="str">
        <f ca="1">IFERROR(__xludf.DUMMYFUNCTION("""COMPUTED_VALUE"""),"821 Jerome ")</f>
        <v xml:space="preserve">821 Jerome </v>
      </c>
      <c r="K40" s="22"/>
      <c r="L40" s="20"/>
      <c r="M40" s="22"/>
      <c r="N40" s="12"/>
      <c r="O40" s="12"/>
      <c r="P40" s="12"/>
      <c r="Q40" s="20"/>
      <c r="R40" s="21"/>
      <c r="S40" s="21"/>
      <c r="T40" s="20"/>
      <c r="U40" s="21"/>
    </row>
    <row r="41" spans="1:21" ht="14.4">
      <c r="A41" s="12"/>
      <c r="B41" s="25" t="str">
        <f ca="1">IFERROR(__xludf.DUMMYFUNCTION("""COMPUTED_VALUE"""),"735 Jerome ")</f>
        <v xml:space="preserve">735 Jerome </v>
      </c>
      <c r="C41" s="26"/>
      <c r="D41" s="20"/>
      <c r="E41" s="21"/>
      <c r="F41" s="20"/>
      <c r="G41" s="22"/>
      <c r="H41" s="25" t="str">
        <f ca="1">IFERROR(__xludf.DUMMYFUNCTION("""COMPUTED_VALUE"""),"821 Jerome ")</f>
        <v xml:space="preserve">821 Jerome </v>
      </c>
      <c r="I41" s="26"/>
      <c r="J41" s="20"/>
      <c r="K41" s="22"/>
      <c r="L41" s="20"/>
      <c r="M41" s="22"/>
      <c r="N41" s="12"/>
      <c r="O41" s="20"/>
      <c r="P41" s="21"/>
      <c r="Q41" s="20"/>
      <c r="R41" s="21"/>
      <c r="S41" s="21"/>
      <c r="T41" s="20"/>
      <c r="U41" s="21"/>
    </row>
    <row r="42" spans="1:21" ht="14.4">
      <c r="A42" s="12"/>
      <c r="B42" s="20"/>
      <c r="C42" s="21"/>
      <c r="D42" s="23" t="str">
        <f ca="1">IFERROR(__xludf.DUMMYFUNCTION("""COMPUTED_VALUE"""),"Game 18")</f>
        <v>Game 18</v>
      </c>
      <c r="E42" s="24"/>
      <c r="F42" s="20"/>
      <c r="G42" s="22"/>
      <c r="H42" s="20"/>
      <c r="I42" s="21"/>
      <c r="J42" s="20"/>
      <c r="K42" s="22"/>
      <c r="L42" s="20"/>
      <c r="M42" s="22"/>
      <c r="N42" s="12"/>
      <c r="O42" s="20"/>
      <c r="P42" s="21"/>
      <c r="Q42" s="20"/>
      <c r="R42" s="21"/>
      <c r="S42" s="21"/>
      <c r="T42" s="20"/>
      <c r="U42" s="21"/>
    </row>
    <row r="43" spans="1:21" ht="14.4">
      <c r="A43" s="12"/>
      <c r="B43" s="23" t="str">
        <f ca="1">IFERROR(__xludf.DUMMYFUNCTION("""COMPUTED_VALUE"""),"Game 10")</f>
        <v>Game 10</v>
      </c>
      <c r="C43" s="24"/>
      <c r="D43" s="20" t="str">
        <f ca="1">IFERROR(__xludf.DUMMYFUNCTION("""COMPUTED_VALUE"""),"821 Jerome ")</f>
        <v xml:space="preserve">821 Jerome </v>
      </c>
      <c r="E43" s="22"/>
      <c r="F43" s="25" t="str">
        <f ca="1">IFERROR(__xludf.DUMMYFUNCTION("""COMPUTED_VALUE"""),"821 Jerome ")</f>
        <v xml:space="preserve">821 Jerome </v>
      </c>
      <c r="G43" s="26"/>
      <c r="H43" s="20"/>
      <c r="I43" s="21"/>
      <c r="J43" s="20"/>
      <c r="K43" s="22"/>
      <c r="L43" s="25" t="str">
        <f ca="1">IFERROR(__xludf.DUMMYFUNCTION("""COMPUTED_VALUE"""),"821 Jerome ")</f>
        <v xml:space="preserve">821 Jerome </v>
      </c>
      <c r="M43" s="26"/>
      <c r="N43" s="12"/>
      <c r="O43" s="20"/>
      <c r="P43" s="21"/>
      <c r="Q43" s="20"/>
      <c r="R43" s="21"/>
      <c r="S43" s="21"/>
      <c r="T43" s="20"/>
      <c r="U43" s="21"/>
    </row>
    <row r="44" spans="1:21" ht="14.4">
      <c r="A44" s="12"/>
      <c r="B44" s="20" t="str">
        <f ca="1">IFERROR(__xludf.DUMMYFUNCTION("""COMPUTED_VALUE"""),"Bye")</f>
        <v>Bye</v>
      </c>
      <c r="C44" s="22"/>
      <c r="D44" s="25" t="str">
        <f ca="1">IFERROR(__xludf.DUMMYFUNCTION("""COMPUTED_VALUE"""),"Bye")</f>
        <v>Bye</v>
      </c>
      <c r="E44" s="26"/>
      <c r="F44" s="20"/>
      <c r="G44" s="21"/>
      <c r="H44" s="20"/>
      <c r="I44" s="21"/>
      <c r="J44" s="20"/>
      <c r="K44" s="22"/>
      <c r="L44" s="20"/>
      <c r="M44" s="21"/>
      <c r="N44" s="12"/>
      <c r="O44" s="20"/>
      <c r="P44" s="21"/>
      <c r="Q44" s="20"/>
      <c r="R44" s="21"/>
      <c r="S44" s="21"/>
      <c r="T44" s="20"/>
      <c r="U44" s="21"/>
    </row>
    <row r="45" spans="1:21" ht="14.4">
      <c r="A45" s="12"/>
      <c r="B45" s="25" t="str">
        <f ca="1">IFERROR(__xludf.DUMMYFUNCTION("""COMPUTED_VALUE"""),"Bye")</f>
        <v>Bye</v>
      </c>
      <c r="C45" s="26"/>
      <c r="D45" s="20"/>
      <c r="E45" s="21"/>
      <c r="F45" s="20"/>
      <c r="G45" s="21"/>
      <c r="H45" s="33" t="str">
        <f ca="1">IFERROR(__xludf.DUMMYFUNCTION("""COMPUTED_VALUE"""),"Game 26")</f>
        <v>Game 26</v>
      </c>
      <c r="I45" s="24"/>
      <c r="J45" s="20"/>
      <c r="K45" s="22"/>
      <c r="L45" s="20"/>
      <c r="M45" s="21"/>
      <c r="N45" s="12"/>
      <c r="O45" s="20"/>
      <c r="P45" s="21"/>
      <c r="Q45" s="20"/>
      <c r="R45" s="21"/>
      <c r="S45" s="21"/>
      <c r="T45" s="20"/>
      <c r="U45" s="21"/>
    </row>
    <row r="46" spans="1:21" ht="14.4">
      <c r="A46" s="12"/>
      <c r="B46" s="20"/>
      <c r="C46" s="21"/>
      <c r="D46" s="23" t="str">
        <f ca="1">IFERROR(__xludf.DUMMYFUNCTION("""COMPUTED_VALUE"""),"Game 19")</f>
        <v>Game 19</v>
      </c>
      <c r="E46" s="24"/>
      <c r="F46" s="20"/>
      <c r="G46" s="21"/>
      <c r="H46" s="20" t="str">
        <f ca="1">IFERROR(__xludf.DUMMYFUNCTION("""COMPUTED_VALUE"""),"877 Great M")</f>
        <v>877 Great M</v>
      </c>
      <c r="I46" s="22"/>
      <c r="J46" s="20"/>
      <c r="K46" s="22"/>
      <c r="L46" s="20"/>
      <c r="M46" s="21"/>
      <c r="N46" s="12"/>
      <c r="O46" s="20"/>
      <c r="P46" s="21"/>
      <c r="Q46" s="20"/>
      <c r="R46" s="21"/>
      <c r="S46" s="21"/>
      <c r="T46" s="20"/>
      <c r="U46" s="21"/>
    </row>
    <row r="47" spans="1:21" ht="14.4">
      <c r="A47" s="12"/>
      <c r="B47" s="23" t="str">
        <f ca="1">IFERROR(__xludf.DUMMYFUNCTION("""COMPUTED_VALUE"""),"Game 11")</f>
        <v>Game 11</v>
      </c>
      <c r="C47" s="24"/>
      <c r="D47" s="20" t="str">
        <f ca="1">IFERROR(__xludf.DUMMYFUNCTION("""COMPUTED_VALUE"""),"844 La Quin")</f>
        <v>844 La Quin</v>
      </c>
      <c r="E47" s="22"/>
      <c r="F47" s="23" t="str">
        <f ca="1">IFERROR(__xludf.DUMMYFUNCTION("""COMPUTED_VALUE"""),"Game 24")</f>
        <v>Game 24</v>
      </c>
      <c r="G47" s="24"/>
      <c r="H47" s="20"/>
      <c r="I47" s="22"/>
      <c r="J47" s="25" t="str">
        <f ca="1">IFERROR(__xludf.DUMMYFUNCTION("""COMPUTED_VALUE"""),"844 La Quin")</f>
        <v>844 La Quin</v>
      </c>
      <c r="K47" s="26"/>
      <c r="L47" s="20"/>
      <c r="M47" s="21"/>
      <c r="N47" s="12"/>
      <c r="O47" s="20"/>
      <c r="P47" s="21"/>
      <c r="Q47" s="20"/>
      <c r="R47" s="21"/>
      <c r="S47" s="21"/>
      <c r="T47" s="20"/>
      <c r="U47" s="21"/>
    </row>
    <row r="48" spans="1:21" ht="14.4">
      <c r="A48" s="12"/>
      <c r="B48" s="20" t="str">
        <f ca="1">IFERROR(__xludf.DUMMYFUNCTION("""COMPUTED_VALUE"""),"Bye")</f>
        <v>Bye</v>
      </c>
      <c r="C48" s="22"/>
      <c r="D48" s="25" t="str">
        <f ca="1">IFERROR(__xludf.DUMMYFUNCTION("""COMPUTED_VALUE"""),"Bye")</f>
        <v>Bye</v>
      </c>
      <c r="E48" s="26"/>
      <c r="F48" s="20" t="str">
        <f ca="1">IFERROR(__xludf.DUMMYFUNCTION("""COMPUTED_VALUE"""),"844 La Quin")</f>
        <v>844 La Quin</v>
      </c>
      <c r="G48" s="22"/>
      <c r="H48" s="20"/>
      <c r="I48" s="22"/>
      <c r="J48" s="20"/>
      <c r="K48" s="21"/>
      <c r="L48" s="20"/>
      <c r="M48" s="21"/>
      <c r="N48" s="12"/>
      <c r="O48" s="20"/>
      <c r="P48" s="21"/>
      <c r="Q48" s="20"/>
      <c r="R48" s="21"/>
      <c r="S48" s="21"/>
      <c r="T48" s="20"/>
      <c r="U48" s="21"/>
    </row>
    <row r="49" spans="1:21" ht="14.4">
      <c r="A49" s="12"/>
      <c r="B49" s="25" t="str">
        <f ca="1">IFERROR(__xludf.DUMMYFUNCTION("""COMPUTED_VALUE"""),"Bye")</f>
        <v>Bye</v>
      </c>
      <c r="C49" s="26"/>
      <c r="D49" s="20"/>
      <c r="E49" s="21"/>
      <c r="F49" s="20"/>
      <c r="G49" s="22"/>
      <c r="H49" s="25" t="str">
        <f ca="1">IFERROR(__xludf.DUMMYFUNCTION("""COMPUTED_VALUE"""),"844 La Quin")</f>
        <v>844 La Quin</v>
      </c>
      <c r="I49" s="26"/>
      <c r="J49" s="20"/>
      <c r="K49" s="21"/>
      <c r="L49" s="20"/>
      <c r="M49" s="21"/>
      <c r="N49" s="12"/>
      <c r="O49" s="20"/>
      <c r="P49" s="21"/>
      <c r="Q49" s="20"/>
      <c r="R49" s="21"/>
      <c r="S49" s="21"/>
      <c r="T49" s="20"/>
      <c r="U49" s="21"/>
    </row>
    <row r="50" spans="1:21" ht="14.4">
      <c r="A50" s="12"/>
      <c r="B50" s="20"/>
      <c r="C50" s="21"/>
      <c r="D50" s="23" t="str">
        <f ca="1">IFERROR(__xludf.DUMMYFUNCTION("""COMPUTED_VALUE"""),"Game 20")</f>
        <v>Game 20</v>
      </c>
      <c r="E50" s="24"/>
      <c r="F50" s="20"/>
      <c r="G50" s="22"/>
      <c r="H50" s="20"/>
      <c r="I50" s="21"/>
      <c r="J50" s="20"/>
      <c r="K50" s="21"/>
      <c r="L50" s="20"/>
      <c r="M50" s="21"/>
      <c r="N50" s="12"/>
      <c r="O50" s="20"/>
      <c r="P50" s="21"/>
      <c r="Q50" s="20"/>
      <c r="R50" s="21"/>
      <c r="S50" s="21"/>
      <c r="T50" s="20"/>
      <c r="U50" s="21"/>
    </row>
    <row r="51" spans="1:21" ht="14.4">
      <c r="A51" s="12"/>
      <c r="B51" s="23" t="str">
        <f ca="1">IFERROR(__xludf.DUMMYFUNCTION("""COMPUTED_VALUE"""),"Game 12")</f>
        <v>Game 12</v>
      </c>
      <c r="C51" s="24"/>
      <c r="D51" s="20" t="str">
        <f ca="1">IFERROR(__xludf.DUMMYFUNCTION("""COMPUTED_VALUE"""),"700 Galileo")</f>
        <v>700 Galileo</v>
      </c>
      <c r="E51" s="22"/>
      <c r="F51" s="25" t="str">
        <f ca="1">IFERROR(__xludf.DUMMYFUNCTION("""COMPUTED_VALUE"""),"700 Galileo")</f>
        <v>700 Galileo</v>
      </c>
      <c r="G51" s="26"/>
      <c r="H51" s="20"/>
      <c r="I51" s="21"/>
      <c r="J51" s="20"/>
      <c r="K51" s="21"/>
      <c r="L51" s="20"/>
      <c r="M51" s="21"/>
      <c r="N51" s="12"/>
      <c r="O51" s="20"/>
      <c r="P51" s="21"/>
      <c r="Q51" s="20"/>
      <c r="R51" s="21"/>
      <c r="S51" s="21"/>
      <c r="T51" s="20"/>
      <c r="U51" s="21"/>
    </row>
    <row r="52" spans="1:21" ht="14.4">
      <c r="A52" s="12"/>
      <c r="B52" s="20" t="str">
        <f ca="1">IFERROR(__xludf.DUMMYFUNCTION("""COMPUTED_VALUE"""),"Bye")</f>
        <v>Bye</v>
      </c>
      <c r="C52" s="22"/>
      <c r="D52" s="25" t="str">
        <f ca="1">IFERROR(__xludf.DUMMYFUNCTION("""COMPUTED_VALUE"""),"Bye")</f>
        <v>Bye</v>
      </c>
      <c r="E52" s="26"/>
      <c r="F52" s="20"/>
      <c r="G52" s="21"/>
      <c r="H52" s="20"/>
      <c r="I52" s="21"/>
      <c r="J52" s="20"/>
      <c r="K52" s="21"/>
      <c r="L52" s="20"/>
      <c r="M52" s="21"/>
      <c r="N52" s="12"/>
      <c r="O52" s="20"/>
      <c r="P52" s="21"/>
      <c r="Q52" s="20"/>
      <c r="R52" s="21"/>
      <c r="S52" s="21"/>
      <c r="T52" s="20"/>
      <c r="U52" s="21"/>
    </row>
    <row r="53" spans="1:21" ht="14.4">
      <c r="A53" s="12"/>
      <c r="B53" s="25" t="str">
        <f ca="1">IFERROR(__xludf.DUMMYFUNCTION("""COMPUTED_VALUE"""),"Bye")</f>
        <v>Bye</v>
      </c>
      <c r="C53" s="26"/>
      <c r="D53" s="20"/>
      <c r="E53" s="21"/>
      <c r="F53" s="20"/>
      <c r="G53" s="21"/>
      <c r="H53" s="20"/>
      <c r="I53" s="21"/>
      <c r="J53" s="20"/>
      <c r="K53" s="21"/>
      <c r="L53" s="20"/>
      <c r="M53" s="21"/>
      <c r="N53" s="12"/>
      <c r="O53" s="20"/>
      <c r="P53" s="21"/>
      <c r="Q53" s="20"/>
      <c r="R53" s="21"/>
      <c r="S53" s="21"/>
      <c r="T53" s="20"/>
      <c r="U53" s="21"/>
    </row>
    <row r="54" spans="1:21" ht="14.4">
      <c r="A54" s="12"/>
      <c r="B54" s="20"/>
      <c r="C54" s="21"/>
      <c r="D54" s="20"/>
      <c r="E54" s="21"/>
      <c r="F54" s="20"/>
      <c r="G54" s="21"/>
      <c r="H54" s="20"/>
      <c r="I54" s="21"/>
      <c r="J54" s="20"/>
      <c r="K54" s="21"/>
      <c r="L54" s="20"/>
      <c r="M54" s="21"/>
      <c r="N54" s="12"/>
      <c r="O54" s="20"/>
      <c r="P54" s="21"/>
      <c r="Q54" s="20"/>
      <c r="R54" s="21"/>
      <c r="S54" s="21"/>
      <c r="T54" s="20"/>
      <c r="U54" s="21"/>
    </row>
  </sheetData>
  <mergeCells count="360">
    <mergeCell ref="Q49:S49"/>
    <mergeCell ref="T49:U49"/>
    <mergeCell ref="B49:C49"/>
    <mergeCell ref="D49:E49"/>
    <mergeCell ref="F49:G49"/>
    <mergeCell ref="H49:I49"/>
    <mergeCell ref="J49:K49"/>
    <mergeCell ref="L49:M49"/>
    <mergeCell ref="O49:P49"/>
    <mergeCell ref="Q48:S48"/>
    <mergeCell ref="T48:U48"/>
    <mergeCell ref="B48:C48"/>
    <mergeCell ref="D48:E48"/>
    <mergeCell ref="F48:G48"/>
    <mergeCell ref="H48:I48"/>
    <mergeCell ref="J48:K48"/>
    <mergeCell ref="L48:M48"/>
    <mergeCell ref="O48:P48"/>
    <mergeCell ref="Q47:S47"/>
    <mergeCell ref="T47:U47"/>
    <mergeCell ref="B47:C47"/>
    <mergeCell ref="D47:E47"/>
    <mergeCell ref="F47:G47"/>
    <mergeCell ref="H47:I47"/>
    <mergeCell ref="J47:K47"/>
    <mergeCell ref="L47:M47"/>
    <mergeCell ref="O47:P47"/>
    <mergeCell ref="Q46:S46"/>
    <mergeCell ref="T46:U46"/>
    <mergeCell ref="B46:C46"/>
    <mergeCell ref="D46:E46"/>
    <mergeCell ref="F46:G46"/>
    <mergeCell ref="H46:I46"/>
    <mergeCell ref="J46:K46"/>
    <mergeCell ref="L46:M46"/>
    <mergeCell ref="O46:P46"/>
    <mergeCell ref="B44:C44"/>
    <mergeCell ref="D44:E44"/>
    <mergeCell ref="F44:G44"/>
    <mergeCell ref="H44:I44"/>
    <mergeCell ref="J44:K44"/>
    <mergeCell ref="L44:M44"/>
    <mergeCell ref="O44:P44"/>
    <mergeCell ref="Q45:S45"/>
    <mergeCell ref="T45:U45"/>
    <mergeCell ref="B45:C45"/>
    <mergeCell ref="D45:E45"/>
    <mergeCell ref="F45:G45"/>
    <mergeCell ref="H45:I45"/>
    <mergeCell ref="J45:K45"/>
    <mergeCell ref="L45:M45"/>
    <mergeCell ref="O45:P45"/>
    <mergeCell ref="Q54:S54"/>
    <mergeCell ref="T54:U54"/>
    <mergeCell ref="B54:C54"/>
    <mergeCell ref="D54:E54"/>
    <mergeCell ref="F54:G54"/>
    <mergeCell ref="H54:I54"/>
    <mergeCell ref="J54:K54"/>
    <mergeCell ref="L54:M54"/>
    <mergeCell ref="O54:P54"/>
    <mergeCell ref="T38:U38"/>
    <mergeCell ref="N39:O39"/>
    <mergeCell ref="T39:U39"/>
    <mergeCell ref="B38:C38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B37:C37"/>
    <mergeCell ref="D38:E38"/>
    <mergeCell ref="F38:G38"/>
    <mergeCell ref="H38:I38"/>
    <mergeCell ref="J38:K38"/>
    <mergeCell ref="L38:M38"/>
    <mergeCell ref="B34:D34"/>
    <mergeCell ref="E34:G34"/>
    <mergeCell ref="H34:J34"/>
    <mergeCell ref="K34:M34"/>
    <mergeCell ref="Q34:R34"/>
    <mergeCell ref="B35:G36"/>
    <mergeCell ref="H35:I35"/>
    <mergeCell ref="L36:M36"/>
    <mergeCell ref="H36:I36"/>
    <mergeCell ref="J36:K36"/>
    <mergeCell ref="Q53:S53"/>
    <mergeCell ref="T53:U53"/>
    <mergeCell ref="B53:C53"/>
    <mergeCell ref="D53:E53"/>
    <mergeCell ref="F53:G53"/>
    <mergeCell ref="H53:I53"/>
    <mergeCell ref="J53:K53"/>
    <mergeCell ref="L53:M53"/>
    <mergeCell ref="O53:P53"/>
    <mergeCell ref="Q52:S52"/>
    <mergeCell ref="T52:U52"/>
    <mergeCell ref="B52:C52"/>
    <mergeCell ref="D52:E52"/>
    <mergeCell ref="F52:G52"/>
    <mergeCell ref="H52:I52"/>
    <mergeCell ref="J52:K52"/>
    <mergeCell ref="L52:M52"/>
    <mergeCell ref="O52:P52"/>
    <mergeCell ref="Q51:S51"/>
    <mergeCell ref="T51:U51"/>
    <mergeCell ref="B51:C51"/>
    <mergeCell ref="D51:E51"/>
    <mergeCell ref="F51:G51"/>
    <mergeCell ref="H51:I51"/>
    <mergeCell ref="J51:K51"/>
    <mergeCell ref="L51:M51"/>
    <mergeCell ref="O51:P51"/>
    <mergeCell ref="L41:M41"/>
    <mergeCell ref="Q50:S50"/>
    <mergeCell ref="T50:U50"/>
    <mergeCell ref="B50:C50"/>
    <mergeCell ref="D50:E50"/>
    <mergeCell ref="F50:G50"/>
    <mergeCell ref="H50:I50"/>
    <mergeCell ref="J50:K50"/>
    <mergeCell ref="L50:M50"/>
    <mergeCell ref="O50:P50"/>
    <mergeCell ref="O41:P41"/>
    <mergeCell ref="Q41:S41"/>
    <mergeCell ref="T41:U41"/>
    <mergeCell ref="Q43:S43"/>
    <mergeCell ref="T43:U43"/>
    <mergeCell ref="B43:C43"/>
    <mergeCell ref="D43:E43"/>
    <mergeCell ref="F43:G43"/>
    <mergeCell ref="H43:I43"/>
    <mergeCell ref="J43:K43"/>
    <mergeCell ref="L43:M43"/>
    <mergeCell ref="O43:P43"/>
    <mergeCell ref="Q44:S44"/>
    <mergeCell ref="T44:U44"/>
    <mergeCell ref="J35:K35"/>
    <mergeCell ref="L35:M35"/>
    <mergeCell ref="Q42:S42"/>
    <mergeCell ref="T42:U42"/>
    <mergeCell ref="B42:C42"/>
    <mergeCell ref="D42:E42"/>
    <mergeCell ref="F42:G42"/>
    <mergeCell ref="H42:I42"/>
    <mergeCell ref="J42:K42"/>
    <mergeCell ref="L42:M42"/>
    <mergeCell ref="O42:P42"/>
    <mergeCell ref="D40:E40"/>
    <mergeCell ref="F40:G40"/>
    <mergeCell ref="H40:I40"/>
    <mergeCell ref="J40:K40"/>
    <mergeCell ref="L40:M40"/>
    <mergeCell ref="Q40:S40"/>
    <mergeCell ref="T40:U40"/>
    <mergeCell ref="B40:C40"/>
    <mergeCell ref="B41:C41"/>
    <mergeCell ref="D41:E41"/>
    <mergeCell ref="F41:G41"/>
    <mergeCell ref="H41:I41"/>
    <mergeCell ref="J41:K41"/>
    <mergeCell ref="B9:D9"/>
    <mergeCell ref="E9:G9"/>
    <mergeCell ref="H9:J9"/>
    <mergeCell ref="K9:M9"/>
    <mergeCell ref="N9:O9"/>
    <mergeCell ref="P9:S9"/>
    <mergeCell ref="E6:G6"/>
    <mergeCell ref="H6:J6"/>
    <mergeCell ref="B7:D7"/>
    <mergeCell ref="E7:G7"/>
    <mergeCell ref="H7:J7"/>
    <mergeCell ref="E8:G8"/>
    <mergeCell ref="H8:J8"/>
    <mergeCell ref="K6:M6"/>
    <mergeCell ref="N6:O6"/>
    <mergeCell ref="K7:M7"/>
    <mergeCell ref="N7:O7"/>
    <mergeCell ref="P7:S7"/>
    <mergeCell ref="K8:M8"/>
    <mergeCell ref="N8:O8"/>
    <mergeCell ref="P8:S8"/>
    <mergeCell ref="B5:D5"/>
    <mergeCell ref="E5:G5"/>
    <mergeCell ref="H5:J5"/>
    <mergeCell ref="K5:M5"/>
    <mergeCell ref="N5:O5"/>
    <mergeCell ref="P5:S5"/>
    <mergeCell ref="B6:D6"/>
    <mergeCell ref="P6:S6"/>
    <mergeCell ref="B8:D8"/>
    <mergeCell ref="B1:F2"/>
    <mergeCell ref="K2:L2"/>
    <mergeCell ref="E3:G3"/>
    <mergeCell ref="H3:J3"/>
    <mergeCell ref="K3:M3"/>
    <mergeCell ref="N3:O3"/>
    <mergeCell ref="P3:S3"/>
    <mergeCell ref="B3:D3"/>
    <mergeCell ref="B4:D4"/>
    <mergeCell ref="E4:G4"/>
    <mergeCell ref="H4:J4"/>
    <mergeCell ref="K4:M4"/>
    <mergeCell ref="N4:O4"/>
    <mergeCell ref="P4:S4"/>
    <mergeCell ref="E32:G32"/>
    <mergeCell ref="H32:J32"/>
    <mergeCell ref="K32:M32"/>
    <mergeCell ref="N32:O32"/>
    <mergeCell ref="Q32:R32"/>
    <mergeCell ref="B32:D32"/>
    <mergeCell ref="B33:D33"/>
    <mergeCell ref="E33:G33"/>
    <mergeCell ref="H33:J33"/>
    <mergeCell ref="K33:M33"/>
    <mergeCell ref="N33:O33"/>
    <mergeCell ref="Q33:R33"/>
    <mergeCell ref="E31:G31"/>
    <mergeCell ref="H31:J31"/>
    <mergeCell ref="Q31:R31"/>
    <mergeCell ref="S31:U31"/>
    <mergeCell ref="B30:D30"/>
    <mergeCell ref="E30:G30"/>
    <mergeCell ref="H30:J30"/>
    <mergeCell ref="K30:M30"/>
    <mergeCell ref="N30:O30"/>
    <mergeCell ref="Q30:R30"/>
    <mergeCell ref="B31:D31"/>
    <mergeCell ref="K31:M31"/>
    <mergeCell ref="N31:O31"/>
    <mergeCell ref="E28:G28"/>
    <mergeCell ref="H28:J28"/>
    <mergeCell ref="K28:M28"/>
    <mergeCell ref="N28:O28"/>
    <mergeCell ref="P28:R28"/>
    <mergeCell ref="B28:D28"/>
    <mergeCell ref="B29:D29"/>
    <mergeCell ref="E29:G29"/>
    <mergeCell ref="H29:J29"/>
    <mergeCell ref="K29:M29"/>
    <mergeCell ref="N29:O29"/>
    <mergeCell ref="Q29:R29"/>
    <mergeCell ref="H25:J25"/>
    <mergeCell ref="K25:M25"/>
    <mergeCell ref="N25:O25"/>
    <mergeCell ref="P25:S25"/>
    <mergeCell ref="E27:G27"/>
    <mergeCell ref="H27:J27"/>
    <mergeCell ref="B26:D26"/>
    <mergeCell ref="E26:G26"/>
    <mergeCell ref="H26:J26"/>
    <mergeCell ref="K26:M26"/>
    <mergeCell ref="N26:O26"/>
    <mergeCell ref="P26:S26"/>
    <mergeCell ref="B27:D27"/>
    <mergeCell ref="P27:S27"/>
    <mergeCell ref="K27:M27"/>
    <mergeCell ref="N27:O27"/>
    <mergeCell ref="E23:G23"/>
    <mergeCell ref="H23:J23"/>
    <mergeCell ref="P23:S23"/>
    <mergeCell ref="T24:U24"/>
    <mergeCell ref="T25:U25"/>
    <mergeCell ref="T26:U26"/>
    <mergeCell ref="T27:U27"/>
    <mergeCell ref="B22:D22"/>
    <mergeCell ref="E22:G22"/>
    <mergeCell ref="H22:J22"/>
    <mergeCell ref="K22:M22"/>
    <mergeCell ref="N22:O22"/>
    <mergeCell ref="P22:S22"/>
    <mergeCell ref="B23:D23"/>
    <mergeCell ref="K23:M23"/>
    <mergeCell ref="N23:O23"/>
    <mergeCell ref="E24:G24"/>
    <mergeCell ref="H24:J24"/>
    <mergeCell ref="K24:M24"/>
    <mergeCell ref="N24:O24"/>
    <mergeCell ref="P24:S24"/>
    <mergeCell ref="B24:D24"/>
    <mergeCell ref="B25:D25"/>
    <mergeCell ref="E25:G25"/>
    <mergeCell ref="E20:G20"/>
    <mergeCell ref="H20:J20"/>
    <mergeCell ref="K20:M20"/>
    <mergeCell ref="N20:O20"/>
    <mergeCell ref="P20:S20"/>
    <mergeCell ref="B20:D20"/>
    <mergeCell ref="B21:D21"/>
    <mergeCell ref="E21:G21"/>
    <mergeCell ref="H21:J21"/>
    <mergeCell ref="K21:M21"/>
    <mergeCell ref="N21:O21"/>
    <mergeCell ref="P21:S21"/>
    <mergeCell ref="E19:G19"/>
    <mergeCell ref="H19:J19"/>
    <mergeCell ref="B18:D18"/>
    <mergeCell ref="E18:G18"/>
    <mergeCell ref="H18:J18"/>
    <mergeCell ref="K18:M18"/>
    <mergeCell ref="N18:O18"/>
    <mergeCell ref="P18:S18"/>
    <mergeCell ref="B19:D19"/>
    <mergeCell ref="P19:S19"/>
    <mergeCell ref="K19:M19"/>
    <mergeCell ref="N19:O19"/>
    <mergeCell ref="E16:G16"/>
    <mergeCell ref="H16:J16"/>
    <mergeCell ref="K16:M16"/>
    <mergeCell ref="N16:O16"/>
    <mergeCell ref="P16:S16"/>
    <mergeCell ref="B16:D16"/>
    <mergeCell ref="B17:D17"/>
    <mergeCell ref="E17:G17"/>
    <mergeCell ref="H17:J17"/>
    <mergeCell ref="K17:M17"/>
    <mergeCell ref="N17:O17"/>
    <mergeCell ref="P17:S17"/>
    <mergeCell ref="E15:G15"/>
    <mergeCell ref="H15:J15"/>
    <mergeCell ref="B14:D14"/>
    <mergeCell ref="E14:G14"/>
    <mergeCell ref="H14:J14"/>
    <mergeCell ref="K14:M14"/>
    <mergeCell ref="N14:O14"/>
    <mergeCell ref="P14:S14"/>
    <mergeCell ref="B15:D15"/>
    <mergeCell ref="P15:S15"/>
    <mergeCell ref="K15:M15"/>
    <mergeCell ref="N15:O15"/>
    <mergeCell ref="E12:G12"/>
    <mergeCell ref="H12:J12"/>
    <mergeCell ref="K12:M12"/>
    <mergeCell ref="N12:O12"/>
    <mergeCell ref="P12:S12"/>
    <mergeCell ref="B12:D12"/>
    <mergeCell ref="B13:D13"/>
    <mergeCell ref="E13:G13"/>
    <mergeCell ref="H13:J13"/>
    <mergeCell ref="K13:M13"/>
    <mergeCell ref="N13:O13"/>
    <mergeCell ref="P13:S13"/>
    <mergeCell ref="E11:G11"/>
    <mergeCell ref="H11:J11"/>
    <mergeCell ref="B10:D10"/>
    <mergeCell ref="E10:G10"/>
    <mergeCell ref="H10:J10"/>
    <mergeCell ref="K10:M10"/>
    <mergeCell ref="N10:O10"/>
    <mergeCell ref="P10:S10"/>
    <mergeCell ref="B11:D11"/>
    <mergeCell ref="P11:S11"/>
    <mergeCell ref="K11:M11"/>
    <mergeCell ref="N11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  <outlinePr summaryBelow="0" summaryRight="0"/>
  </sheetPr>
  <dimension ref="A1:U54"/>
  <sheetViews>
    <sheetView showGridLines="0" workbookViewId="0"/>
  </sheetViews>
  <sheetFormatPr defaultColWidth="12.6640625" defaultRowHeight="15.75" customHeight="1"/>
  <cols>
    <col min="1" max="21" width="7.6640625" customWidth="1"/>
  </cols>
  <sheetData>
    <row r="1" spans="1:21" ht="15.75" customHeight="1">
      <c r="A1" s="12" t="str">
        <f ca="1">IFERROR(__xludf.DUMMYFUNCTION("IMPORTRANGE(""https://docs.google.com/spreadsheets/d/11rZfuCcnWwx4mypRymG7SP3aoV-_A_PQ83tyDxi-OiQ/edit?gid=144174392#gid=144174392"", ""DE Bracket Ranger!A1:U54"")"),"")</f>
        <v/>
      </c>
      <c r="B1" s="28" t="str">
        <f ca="1">IFERROR(__xludf.DUMMYFUNCTION("""COMPUTED_VALUE"""),"Ranger Main Bracket")</f>
        <v>Ranger Main Bracket</v>
      </c>
      <c r="C1" s="21"/>
      <c r="D1" s="21"/>
      <c r="E1" s="21"/>
      <c r="F1" s="2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customHeight="1">
      <c r="A2" s="12"/>
      <c r="B2" s="21"/>
      <c r="C2" s="21"/>
      <c r="D2" s="21"/>
      <c r="E2" s="21"/>
      <c r="F2" s="21"/>
      <c r="G2" s="12"/>
      <c r="H2" s="12"/>
      <c r="I2" s="12"/>
      <c r="J2" s="12"/>
      <c r="K2" s="29" t="str">
        <f ca="1">IFERROR(__xludf.DUMMYFUNCTION("""COMPUTED_VALUE"""),"Timeout Used")</f>
        <v>Timeout Used</v>
      </c>
      <c r="L2" s="21"/>
      <c r="M2" s="12"/>
      <c r="N2" s="12"/>
      <c r="O2" s="12"/>
      <c r="P2" s="12"/>
      <c r="Q2" s="12"/>
      <c r="R2" s="12"/>
      <c r="S2" s="12"/>
      <c r="T2" s="12"/>
      <c r="U2" s="12"/>
    </row>
    <row r="3" spans="1:21" ht="15.75" customHeight="1">
      <c r="A3" s="12" t="str">
        <f ca="1">IFERROR(__xludf.DUMMYFUNCTION("""COMPUTED_VALUE"""),"Seed #")</f>
        <v>Seed #</v>
      </c>
      <c r="B3" s="23" t="str">
        <f ca="1">IFERROR(__xludf.DUMMYFUNCTION("""COMPUTED_VALUE"""),"Game 1")</f>
        <v>Game 1</v>
      </c>
      <c r="C3" s="24"/>
      <c r="D3" s="24"/>
      <c r="E3" s="20"/>
      <c r="F3" s="21"/>
      <c r="G3" s="21"/>
      <c r="H3" s="20"/>
      <c r="I3" s="21"/>
      <c r="J3" s="21"/>
      <c r="K3" s="20"/>
      <c r="L3" s="21"/>
      <c r="M3" s="21"/>
      <c r="N3" s="20"/>
      <c r="O3" s="21"/>
      <c r="P3" s="20"/>
      <c r="Q3" s="21"/>
      <c r="R3" s="21"/>
      <c r="S3" s="21"/>
      <c r="T3" s="12"/>
      <c r="U3" s="12"/>
    </row>
    <row r="4" spans="1:21" ht="15.75" customHeight="1">
      <c r="A4" s="13">
        <f ca="1">IFERROR(__xludf.DUMMYFUNCTION("""COMPUTED_VALUE"""),1)</f>
        <v>1</v>
      </c>
      <c r="B4" s="20" t="str">
        <f ca="1">IFERROR(__xludf.DUMMYFUNCTION("""COMPUTED_VALUE"""),"617 TGM All")</f>
        <v>617 TGM All</v>
      </c>
      <c r="C4" s="21"/>
      <c r="D4" s="22"/>
      <c r="E4" s="23" t="str">
        <f ca="1">IFERROR(__xludf.DUMMYFUNCTION("""COMPUTED_VALUE"""),"Game 13")</f>
        <v>Game 13</v>
      </c>
      <c r="F4" s="24"/>
      <c r="G4" s="24"/>
      <c r="H4" s="20"/>
      <c r="I4" s="21"/>
      <c r="J4" s="21"/>
      <c r="K4" s="20"/>
      <c r="L4" s="21"/>
      <c r="M4" s="21"/>
      <c r="N4" s="20"/>
      <c r="O4" s="21"/>
      <c r="P4" s="20"/>
      <c r="Q4" s="21"/>
      <c r="R4" s="21"/>
      <c r="S4" s="21"/>
      <c r="T4" s="12"/>
      <c r="U4" s="12"/>
    </row>
    <row r="5" spans="1:21" ht="15.75" customHeight="1">
      <c r="A5" s="13">
        <f ca="1">IFERROR(__xludf.DUMMYFUNCTION("""COMPUTED_VALUE"""),16)</f>
        <v>16</v>
      </c>
      <c r="B5" s="27" t="str">
        <f ca="1">IFERROR(__xludf.DUMMYFUNCTION("""COMPUTED_VALUE"""),"Bye")</f>
        <v>Bye</v>
      </c>
      <c r="C5" s="24"/>
      <c r="D5" s="26"/>
      <c r="E5" s="20" t="str">
        <f ca="1">IFERROR(__xludf.DUMMYFUNCTION("""COMPUTED_VALUE"""),"617 TGM All")</f>
        <v>617 TGM All</v>
      </c>
      <c r="F5" s="21"/>
      <c r="G5" s="22"/>
      <c r="H5" s="20"/>
      <c r="I5" s="21"/>
      <c r="J5" s="21"/>
      <c r="K5" s="20"/>
      <c r="L5" s="21"/>
      <c r="M5" s="21"/>
      <c r="N5" s="20"/>
      <c r="O5" s="21"/>
      <c r="P5" s="20"/>
      <c r="Q5" s="21"/>
      <c r="R5" s="21"/>
      <c r="S5" s="21"/>
      <c r="T5" s="12"/>
      <c r="U5" s="12"/>
    </row>
    <row r="6" spans="1:21" ht="15.75" customHeight="1">
      <c r="A6" s="12"/>
      <c r="B6" s="20"/>
      <c r="C6" s="21"/>
      <c r="D6" s="21"/>
      <c r="E6" s="20"/>
      <c r="F6" s="21"/>
      <c r="G6" s="22"/>
      <c r="H6" s="23" t="str">
        <f ca="1">IFERROR(__xludf.DUMMYFUNCTION("""COMPUTED_VALUE"""),"Game 21")</f>
        <v>Game 21</v>
      </c>
      <c r="I6" s="24"/>
      <c r="J6" s="24"/>
      <c r="K6" s="20"/>
      <c r="L6" s="21"/>
      <c r="M6" s="21"/>
      <c r="N6" s="20"/>
      <c r="O6" s="21"/>
      <c r="P6" s="20"/>
      <c r="Q6" s="21"/>
      <c r="R6" s="21"/>
      <c r="S6" s="21"/>
      <c r="T6" s="12"/>
      <c r="U6" s="12"/>
    </row>
    <row r="7" spans="1:21" ht="15.75" customHeight="1">
      <c r="A7" s="12"/>
      <c r="B7" s="23" t="str">
        <f ca="1">IFERROR(__xludf.DUMMYFUNCTION("""COMPUTED_VALUE"""),"Game 2")</f>
        <v>Game 2</v>
      </c>
      <c r="C7" s="24"/>
      <c r="D7" s="24"/>
      <c r="E7" s="20"/>
      <c r="F7" s="21"/>
      <c r="G7" s="22"/>
      <c r="H7" s="20" t="str">
        <f ca="1">IFERROR(__xludf.DUMMYFUNCTION("""COMPUTED_VALUE"""),"770 Malden ")</f>
        <v xml:space="preserve">770 Malden </v>
      </c>
      <c r="I7" s="21"/>
      <c r="J7" s="22"/>
      <c r="K7" s="20"/>
      <c r="L7" s="21"/>
      <c r="M7" s="21"/>
      <c r="N7" s="20"/>
      <c r="O7" s="21"/>
      <c r="P7" s="20"/>
      <c r="Q7" s="21"/>
      <c r="R7" s="21"/>
      <c r="S7" s="21"/>
      <c r="T7" s="12"/>
      <c r="U7" s="12"/>
    </row>
    <row r="8" spans="1:21" ht="15.75" customHeight="1">
      <c r="A8" s="13">
        <f ca="1">IFERROR(__xludf.DUMMYFUNCTION("""COMPUTED_VALUE"""),8)</f>
        <v>8</v>
      </c>
      <c r="B8" s="20" t="str">
        <f ca="1">IFERROR(__xludf.DUMMYFUNCTION("""COMPUTED_VALUE"""),"504 Great M")</f>
        <v>504 Great M</v>
      </c>
      <c r="C8" s="21"/>
      <c r="D8" s="22"/>
      <c r="E8" s="30" t="str">
        <f ca="1">IFERROR(__xludf.DUMMYFUNCTION("""COMPUTED_VALUE"""),"770 Malden ")</f>
        <v xml:space="preserve">770 Malden </v>
      </c>
      <c r="F8" s="24"/>
      <c r="G8" s="26"/>
      <c r="H8" s="20"/>
      <c r="I8" s="21"/>
      <c r="J8" s="22"/>
      <c r="K8" s="20"/>
      <c r="L8" s="21"/>
      <c r="M8" s="21"/>
      <c r="N8" s="20"/>
      <c r="O8" s="21"/>
      <c r="P8" s="20"/>
      <c r="Q8" s="21"/>
      <c r="R8" s="21"/>
      <c r="S8" s="21"/>
      <c r="T8" s="12"/>
      <c r="U8" s="12"/>
    </row>
    <row r="9" spans="1:21" ht="15.75" customHeight="1">
      <c r="A9" s="13">
        <f ca="1">IFERROR(__xludf.DUMMYFUNCTION("""COMPUTED_VALUE"""),9)</f>
        <v>9</v>
      </c>
      <c r="B9" s="25" t="str">
        <f ca="1">IFERROR(__xludf.DUMMYFUNCTION("""COMPUTED_VALUE"""),"770 Malden ")</f>
        <v xml:space="preserve">770 Malden </v>
      </c>
      <c r="C9" s="24"/>
      <c r="D9" s="26"/>
      <c r="E9" s="20"/>
      <c r="F9" s="21"/>
      <c r="G9" s="21"/>
      <c r="H9" s="20"/>
      <c r="I9" s="21"/>
      <c r="J9" s="22"/>
      <c r="K9" s="20"/>
      <c r="L9" s="21"/>
      <c r="M9" s="21"/>
      <c r="N9" s="20"/>
      <c r="O9" s="21"/>
      <c r="P9" s="20"/>
      <c r="Q9" s="21"/>
      <c r="R9" s="21"/>
      <c r="S9" s="21"/>
      <c r="T9" s="12"/>
      <c r="U9" s="12"/>
    </row>
    <row r="10" spans="1:21" ht="15.75" customHeight="1">
      <c r="A10" s="12"/>
      <c r="B10" s="20"/>
      <c r="C10" s="21"/>
      <c r="D10" s="21"/>
      <c r="E10" s="20"/>
      <c r="F10" s="21"/>
      <c r="G10" s="21"/>
      <c r="H10" s="20"/>
      <c r="I10" s="21"/>
      <c r="J10" s="22"/>
      <c r="K10" s="23" t="str">
        <f ca="1">IFERROR(__xludf.DUMMYFUNCTION("""COMPUTED_VALUE"""),"Game 27")</f>
        <v>Game 27</v>
      </c>
      <c r="L10" s="24"/>
      <c r="M10" s="24"/>
      <c r="N10" s="20"/>
      <c r="O10" s="21"/>
      <c r="P10" s="20"/>
      <c r="Q10" s="21"/>
      <c r="R10" s="21"/>
      <c r="S10" s="21"/>
      <c r="T10" s="12"/>
      <c r="U10" s="12"/>
    </row>
    <row r="11" spans="1:21" ht="15.75" customHeight="1">
      <c r="A11" s="12"/>
      <c r="B11" s="23" t="str">
        <f ca="1">IFERROR(__xludf.DUMMYFUNCTION("""COMPUTED_VALUE"""),"Game 3")</f>
        <v>Game 3</v>
      </c>
      <c r="C11" s="24"/>
      <c r="D11" s="24"/>
      <c r="E11" s="20"/>
      <c r="F11" s="21"/>
      <c r="G11" s="21"/>
      <c r="H11" s="20"/>
      <c r="I11" s="21"/>
      <c r="J11" s="22"/>
      <c r="K11" s="20" t="str">
        <f ca="1">IFERROR(__xludf.DUMMYFUNCTION("""COMPUTED_VALUE"""),"770 Malden ")</f>
        <v xml:space="preserve">770 Malden </v>
      </c>
      <c r="L11" s="21"/>
      <c r="M11" s="22"/>
      <c r="N11" s="20"/>
      <c r="O11" s="21"/>
      <c r="P11" s="20"/>
      <c r="Q11" s="21"/>
      <c r="R11" s="21"/>
      <c r="S11" s="21"/>
      <c r="T11" s="12"/>
      <c r="U11" s="12"/>
    </row>
    <row r="12" spans="1:21" ht="15.75" customHeight="1">
      <c r="A12" s="13">
        <f ca="1">IFERROR(__xludf.DUMMYFUNCTION("""COMPUTED_VALUE"""),5)</f>
        <v>5</v>
      </c>
      <c r="B12" s="20" t="str">
        <f ca="1">IFERROR(__xludf.DUMMYFUNCTION("""COMPUTED_VALUE"""),"661 Olive T")</f>
        <v>661 Olive T</v>
      </c>
      <c r="C12" s="21"/>
      <c r="D12" s="22"/>
      <c r="E12" s="23" t="str">
        <f ca="1">IFERROR(__xludf.DUMMYFUNCTION("""COMPUTED_VALUE"""),"Game 14")</f>
        <v>Game 14</v>
      </c>
      <c r="F12" s="24"/>
      <c r="G12" s="24"/>
      <c r="H12" s="20"/>
      <c r="I12" s="21"/>
      <c r="J12" s="22"/>
      <c r="K12" s="20"/>
      <c r="L12" s="21"/>
      <c r="M12" s="22"/>
      <c r="N12" s="20"/>
      <c r="O12" s="21"/>
      <c r="P12" s="20"/>
      <c r="Q12" s="21"/>
      <c r="R12" s="21"/>
      <c r="S12" s="21"/>
      <c r="T12" s="12"/>
      <c r="U12" s="12"/>
    </row>
    <row r="13" spans="1:21" ht="15.75" customHeight="1">
      <c r="A13" s="13">
        <f ca="1">IFERROR(__xludf.DUMMYFUNCTION("""COMPUTED_VALUE"""),12)</f>
        <v>12</v>
      </c>
      <c r="B13" s="25" t="str">
        <f ca="1">IFERROR(__xludf.DUMMYFUNCTION("""COMPUTED_VALUE"""),"921 Austral")</f>
        <v>921 Austral</v>
      </c>
      <c r="C13" s="24"/>
      <c r="D13" s="26"/>
      <c r="E13" s="20" t="str">
        <f ca="1">IFERROR(__xludf.DUMMYFUNCTION("""COMPUTED_VALUE"""),"921 Austral")</f>
        <v>921 Austral</v>
      </c>
      <c r="F13" s="21"/>
      <c r="G13" s="22"/>
      <c r="H13" s="20"/>
      <c r="I13" s="21"/>
      <c r="J13" s="22"/>
      <c r="K13" s="20"/>
      <c r="L13" s="21"/>
      <c r="M13" s="22"/>
      <c r="N13" s="20"/>
      <c r="O13" s="21"/>
      <c r="P13" s="20"/>
      <c r="Q13" s="21"/>
      <c r="R13" s="21"/>
      <c r="S13" s="21"/>
      <c r="T13" s="12"/>
      <c r="U13" s="12"/>
    </row>
    <row r="14" spans="1:21" ht="15.75" customHeight="1">
      <c r="A14" s="12"/>
      <c r="B14" s="20"/>
      <c r="C14" s="21"/>
      <c r="D14" s="21"/>
      <c r="E14" s="20"/>
      <c r="F14" s="21"/>
      <c r="G14" s="22"/>
      <c r="H14" s="25" t="str">
        <f ca="1">IFERROR(__xludf.DUMMYFUNCTION("""COMPUTED_VALUE"""),"804 Tucumca")</f>
        <v>804 Tucumca</v>
      </c>
      <c r="I14" s="24"/>
      <c r="J14" s="26"/>
      <c r="K14" s="20"/>
      <c r="L14" s="21"/>
      <c r="M14" s="22"/>
      <c r="N14" s="20"/>
      <c r="O14" s="21"/>
      <c r="P14" s="20"/>
      <c r="Q14" s="21"/>
      <c r="R14" s="21"/>
      <c r="S14" s="21"/>
      <c r="T14" s="12"/>
      <c r="U14" s="12"/>
    </row>
    <row r="15" spans="1:21" ht="15.75" customHeight="1">
      <c r="A15" s="12"/>
      <c r="B15" s="23" t="str">
        <f ca="1">IFERROR(__xludf.DUMMYFUNCTION("""COMPUTED_VALUE"""),"Game 4")</f>
        <v>Game 4</v>
      </c>
      <c r="C15" s="24"/>
      <c r="D15" s="24"/>
      <c r="E15" s="20"/>
      <c r="F15" s="21"/>
      <c r="G15" s="22"/>
      <c r="H15" s="20"/>
      <c r="I15" s="21"/>
      <c r="J15" s="21"/>
      <c r="K15" s="20"/>
      <c r="L15" s="21"/>
      <c r="M15" s="22"/>
      <c r="N15" s="20"/>
      <c r="O15" s="21"/>
      <c r="P15" s="20"/>
      <c r="Q15" s="21"/>
      <c r="R15" s="21"/>
      <c r="S15" s="21"/>
      <c r="T15" s="12"/>
      <c r="U15" s="12"/>
    </row>
    <row r="16" spans="1:21" ht="15.75" customHeight="1">
      <c r="A16" s="13">
        <f ca="1">IFERROR(__xludf.DUMMYFUNCTION("""COMPUTED_VALUE"""),4)</f>
        <v>4</v>
      </c>
      <c r="B16" s="20" t="str">
        <f ca="1">IFERROR(__xludf.DUMMYFUNCTION("""COMPUTED_VALUE"""),"804 Tucumca")</f>
        <v>804 Tucumca</v>
      </c>
      <c r="C16" s="21"/>
      <c r="D16" s="22"/>
      <c r="E16" s="25" t="str">
        <f ca="1">IFERROR(__xludf.DUMMYFUNCTION("""COMPUTED_VALUE"""),"804 Tucumca")</f>
        <v>804 Tucumca</v>
      </c>
      <c r="F16" s="24"/>
      <c r="G16" s="26"/>
      <c r="H16" s="20"/>
      <c r="I16" s="21"/>
      <c r="J16" s="21"/>
      <c r="K16" s="20"/>
      <c r="L16" s="21"/>
      <c r="M16" s="22"/>
      <c r="N16" s="20"/>
      <c r="O16" s="21"/>
      <c r="P16" s="20"/>
      <c r="Q16" s="21"/>
      <c r="R16" s="21"/>
      <c r="S16" s="21"/>
      <c r="T16" s="12"/>
      <c r="U16" s="12"/>
    </row>
    <row r="17" spans="1:21" ht="15.75" customHeight="1">
      <c r="A17" s="13">
        <f ca="1">IFERROR(__xludf.DUMMYFUNCTION("""COMPUTED_VALUE"""),13)</f>
        <v>13</v>
      </c>
      <c r="B17" s="25" t="str">
        <f ca="1">IFERROR(__xludf.DUMMYFUNCTION("""COMPUTED_VALUE"""),"086 Bald Ea")</f>
        <v>086 Bald Ea</v>
      </c>
      <c r="C17" s="24"/>
      <c r="D17" s="26"/>
      <c r="E17" s="20"/>
      <c r="F17" s="21"/>
      <c r="G17" s="21"/>
      <c r="H17" s="20"/>
      <c r="I17" s="21"/>
      <c r="J17" s="21"/>
      <c r="K17" s="20"/>
      <c r="L17" s="21"/>
      <c r="M17" s="22"/>
      <c r="N17" s="20"/>
      <c r="O17" s="21"/>
      <c r="P17" s="20"/>
      <c r="Q17" s="21"/>
      <c r="R17" s="21"/>
      <c r="S17" s="21"/>
      <c r="T17" s="12"/>
      <c r="U17" s="12"/>
    </row>
    <row r="18" spans="1:21" ht="15.75" customHeight="1">
      <c r="A18" s="12"/>
      <c r="B18" s="20"/>
      <c r="C18" s="21"/>
      <c r="D18" s="21"/>
      <c r="E18" s="20"/>
      <c r="F18" s="21"/>
      <c r="G18" s="21"/>
      <c r="H18" s="20"/>
      <c r="I18" s="21"/>
      <c r="J18" s="21"/>
      <c r="K18" s="20"/>
      <c r="L18" s="21"/>
      <c r="M18" s="22"/>
      <c r="N18" s="23" t="str">
        <f ca="1">IFERROR(__xludf.DUMMYFUNCTION("""COMPUTED_VALUE"""),"Game 30")</f>
        <v>Game 30</v>
      </c>
      <c r="O18" s="24"/>
      <c r="P18" s="20"/>
      <c r="Q18" s="21"/>
      <c r="R18" s="21"/>
      <c r="S18" s="21"/>
      <c r="T18" s="12"/>
      <c r="U18" s="12"/>
    </row>
    <row r="19" spans="1:21" ht="15.75" customHeight="1">
      <c r="A19" s="12"/>
      <c r="B19" s="23" t="str">
        <f ca="1">IFERROR(__xludf.DUMMYFUNCTION("""COMPUTED_VALUE"""),"Game 5")</f>
        <v>Game 5</v>
      </c>
      <c r="C19" s="24"/>
      <c r="D19" s="24"/>
      <c r="E19" s="20"/>
      <c r="F19" s="21"/>
      <c r="G19" s="21"/>
      <c r="H19" s="20"/>
      <c r="I19" s="21"/>
      <c r="J19" s="21"/>
      <c r="K19" s="20"/>
      <c r="L19" s="21"/>
      <c r="M19" s="22"/>
      <c r="N19" s="20" t="str">
        <f ca="1">IFERROR(__xludf.DUMMYFUNCTION("""COMPUTED_VALUE"""),"770 Malden ")</f>
        <v xml:space="preserve">770 Malden </v>
      </c>
      <c r="O19" s="22"/>
      <c r="P19" s="20"/>
      <c r="Q19" s="21"/>
      <c r="R19" s="21"/>
      <c r="S19" s="21"/>
      <c r="T19" s="12"/>
      <c r="U19" s="12"/>
    </row>
    <row r="20" spans="1:21" ht="15.75" customHeight="1">
      <c r="A20" s="13">
        <f ca="1">IFERROR(__xludf.DUMMYFUNCTION("""COMPUTED_VALUE"""),3)</f>
        <v>3</v>
      </c>
      <c r="B20" s="20" t="str">
        <f ca="1">IFERROR(__xludf.DUMMYFUNCTION("""COMPUTED_VALUE"""),"803 Tucumca")</f>
        <v>803 Tucumca</v>
      </c>
      <c r="C20" s="21"/>
      <c r="D20" s="22"/>
      <c r="E20" s="23" t="str">
        <f ca="1">IFERROR(__xludf.DUMMYFUNCTION("""COMPUTED_VALUE"""),"Game 15")</f>
        <v>Game 15</v>
      </c>
      <c r="F20" s="24"/>
      <c r="G20" s="24"/>
      <c r="H20" s="20"/>
      <c r="I20" s="21"/>
      <c r="J20" s="21"/>
      <c r="K20" s="20"/>
      <c r="L20" s="21"/>
      <c r="M20" s="22"/>
      <c r="N20" s="20"/>
      <c r="O20" s="22"/>
      <c r="P20" s="20"/>
      <c r="Q20" s="21"/>
      <c r="R20" s="21"/>
      <c r="S20" s="21"/>
      <c r="T20" s="12"/>
      <c r="U20" s="12"/>
    </row>
    <row r="21" spans="1:21" ht="15.75" customHeight="1">
      <c r="A21" s="13">
        <f ca="1">IFERROR(__xludf.DUMMYFUNCTION("""COMPUTED_VALUE"""),14)</f>
        <v>14</v>
      </c>
      <c r="B21" s="27" t="str">
        <f ca="1">IFERROR(__xludf.DUMMYFUNCTION("""COMPUTED_VALUE"""),"866 Buffalo")</f>
        <v>866 Buffalo</v>
      </c>
      <c r="C21" s="24"/>
      <c r="D21" s="26"/>
      <c r="E21" s="20" t="str">
        <f ca="1">IFERROR(__xludf.DUMMYFUNCTION("""COMPUTED_VALUE"""),"803 Tucumca")</f>
        <v>803 Tucumca</v>
      </c>
      <c r="F21" s="21"/>
      <c r="G21" s="22"/>
      <c r="H21" s="20"/>
      <c r="I21" s="21"/>
      <c r="J21" s="21"/>
      <c r="K21" s="20"/>
      <c r="L21" s="21"/>
      <c r="M21" s="22"/>
      <c r="N21" s="20"/>
      <c r="O21" s="22"/>
      <c r="P21" s="20"/>
      <c r="Q21" s="21"/>
      <c r="R21" s="21"/>
      <c r="S21" s="21"/>
      <c r="T21" s="12"/>
      <c r="U21" s="12"/>
    </row>
    <row r="22" spans="1:21" ht="15.75" customHeight="1">
      <c r="A22" s="12"/>
      <c r="B22" s="20"/>
      <c r="C22" s="21"/>
      <c r="D22" s="21"/>
      <c r="E22" s="20"/>
      <c r="F22" s="21"/>
      <c r="G22" s="22"/>
      <c r="H22" s="23" t="str">
        <f ca="1">IFERROR(__xludf.DUMMYFUNCTION("""COMPUTED_VALUE"""),"Game 22")</f>
        <v>Game 22</v>
      </c>
      <c r="I22" s="24"/>
      <c r="J22" s="24"/>
      <c r="K22" s="20"/>
      <c r="L22" s="21"/>
      <c r="M22" s="22"/>
      <c r="N22" s="20"/>
      <c r="O22" s="22"/>
      <c r="P22" s="20"/>
      <c r="Q22" s="21"/>
      <c r="R22" s="21"/>
      <c r="S22" s="21"/>
      <c r="T22" s="12"/>
      <c r="U22" s="12"/>
    </row>
    <row r="23" spans="1:21" ht="14.4">
      <c r="A23" s="12"/>
      <c r="B23" s="23" t="str">
        <f ca="1">IFERROR(__xludf.DUMMYFUNCTION("""COMPUTED_VALUE"""),"Game 6")</f>
        <v>Game 6</v>
      </c>
      <c r="C23" s="24"/>
      <c r="D23" s="24"/>
      <c r="E23" s="20"/>
      <c r="F23" s="21"/>
      <c r="G23" s="22"/>
      <c r="H23" s="20" t="str">
        <f ca="1">IFERROR(__xludf.DUMMYFUNCTION("""COMPUTED_VALUE"""),"803 Tucumca")</f>
        <v>803 Tucumca</v>
      </c>
      <c r="I23" s="21"/>
      <c r="J23" s="22"/>
      <c r="K23" s="20"/>
      <c r="L23" s="21"/>
      <c r="M23" s="22"/>
      <c r="N23" s="20"/>
      <c r="O23" s="22"/>
      <c r="P23" s="20"/>
      <c r="Q23" s="21"/>
      <c r="R23" s="21"/>
      <c r="S23" s="21"/>
      <c r="T23" s="12"/>
      <c r="U23" s="12"/>
    </row>
    <row r="24" spans="1:21" ht="14.4">
      <c r="A24" s="13">
        <f ca="1">IFERROR(__xludf.DUMMYFUNCTION("""COMPUTED_VALUE"""),6)</f>
        <v>6</v>
      </c>
      <c r="B24" s="20" t="str">
        <f ca="1">IFERROR(__xludf.DUMMYFUNCTION("""COMPUTED_VALUE"""),"889 Jerome ")</f>
        <v xml:space="preserve">889 Jerome </v>
      </c>
      <c r="C24" s="21"/>
      <c r="D24" s="22"/>
      <c r="E24" s="25" t="str">
        <f ca="1">IFERROR(__xludf.DUMMYFUNCTION("""COMPUTED_VALUE"""),"059 Millwoo")</f>
        <v>059 Millwoo</v>
      </c>
      <c r="F24" s="24"/>
      <c r="G24" s="26"/>
      <c r="H24" s="20"/>
      <c r="I24" s="21"/>
      <c r="J24" s="22"/>
      <c r="K24" s="20"/>
      <c r="L24" s="21"/>
      <c r="M24" s="22"/>
      <c r="N24" s="20"/>
      <c r="O24" s="22"/>
      <c r="P24" s="20"/>
      <c r="Q24" s="21"/>
      <c r="R24" s="21"/>
      <c r="S24" s="21"/>
      <c r="T24" s="20"/>
      <c r="U24" s="21"/>
    </row>
    <row r="25" spans="1:21" ht="14.4">
      <c r="A25" s="13">
        <f ca="1">IFERROR(__xludf.DUMMYFUNCTION("""COMPUTED_VALUE"""),11)</f>
        <v>11</v>
      </c>
      <c r="B25" s="25" t="str">
        <f ca="1">IFERROR(__xludf.DUMMYFUNCTION("""COMPUTED_VALUE"""),"059 Millwoo")</f>
        <v>059 Millwoo</v>
      </c>
      <c r="C25" s="24"/>
      <c r="D25" s="26"/>
      <c r="E25" s="20"/>
      <c r="F25" s="21"/>
      <c r="G25" s="21"/>
      <c r="H25" s="20"/>
      <c r="I25" s="21"/>
      <c r="J25" s="22"/>
      <c r="K25" s="20"/>
      <c r="L25" s="21"/>
      <c r="M25" s="22"/>
      <c r="N25" s="20"/>
      <c r="O25" s="22"/>
      <c r="P25" s="20"/>
      <c r="Q25" s="21"/>
      <c r="R25" s="21"/>
      <c r="S25" s="21"/>
      <c r="T25" s="20"/>
      <c r="U25" s="21"/>
    </row>
    <row r="26" spans="1:21" ht="14.4">
      <c r="A26" s="12"/>
      <c r="B26" s="20"/>
      <c r="C26" s="21"/>
      <c r="D26" s="21"/>
      <c r="E26" s="20"/>
      <c r="F26" s="21"/>
      <c r="G26" s="21"/>
      <c r="H26" s="20"/>
      <c r="I26" s="21"/>
      <c r="J26" s="22"/>
      <c r="K26" s="25" t="str">
        <f ca="1">IFERROR(__xludf.DUMMYFUNCTION("""COMPUTED_VALUE"""),"310 Tucumca")</f>
        <v>310 Tucumca</v>
      </c>
      <c r="L26" s="24"/>
      <c r="M26" s="26"/>
      <c r="N26" s="20"/>
      <c r="O26" s="22"/>
      <c r="P26" s="20"/>
      <c r="Q26" s="21"/>
      <c r="R26" s="21"/>
      <c r="S26" s="21"/>
      <c r="T26" s="20"/>
      <c r="U26" s="21"/>
    </row>
    <row r="27" spans="1:21" ht="14.4">
      <c r="A27" s="12"/>
      <c r="B27" s="23" t="str">
        <f ca="1">IFERROR(__xludf.DUMMYFUNCTION("""COMPUTED_VALUE"""),"Game 7")</f>
        <v>Game 7</v>
      </c>
      <c r="C27" s="24"/>
      <c r="D27" s="24"/>
      <c r="E27" s="20"/>
      <c r="F27" s="21"/>
      <c r="G27" s="21"/>
      <c r="H27" s="20"/>
      <c r="I27" s="21"/>
      <c r="J27" s="22"/>
      <c r="K27" s="20"/>
      <c r="L27" s="21"/>
      <c r="M27" s="21"/>
      <c r="N27" s="20"/>
      <c r="O27" s="22"/>
      <c r="P27" s="20"/>
      <c r="Q27" s="21"/>
      <c r="R27" s="21"/>
      <c r="S27" s="21"/>
      <c r="T27" s="20"/>
      <c r="U27" s="21"/>
    </row>
    <row r="28" spans="1:21" ht="14.4">
      <c r="A28" s="13">
        <f ca="1">IFERROR(__xludf.DUMMYFUNCTION("""COMPUTED_VALUE"""),7)</f>
        <v>7</v>
      </c>
      <c r="B28" s="20" t="str">
        <f ca="1">IFERROR(__xludf.DUMMYFUNCTION("""COMPUTED_VALUE"""),"711 Curtis ")</f>
        <v xml:space="preserve">711 Curtis </v>
      </c>
      <c r="C28" s="21"/>
      <c r="D28" s="22"/>
      <c r="E28" s="23" t="str">
        <f ca="1">IFERROR(__xludf.DUMMYFUNCTION("""COMPUTED_VALUE"""),"Game 16")</f>
        <v>Game 16</v>
      </c>
      <c r="F28" s="24"/>
      <c r="G28" s="24"/>
      <c r="H28" s="20"/>
      <c r="I28" s="21"/>
      <c r="J28" s="22"/>
      <c r="K28" s="20"/>
      <c r="L28" s="21"/>
      <c r="M28" s="21"/>
      <c r="N28" s="20"/>
      <c r="O28" s="22"/>
      <c r="P28" s="23" t="str">
        <f ca="1">IFERROR(__xludf.DUMMYFUNCTION("""COMPUTED_VALUE"""),"Game 31")</f>
        <v>Game 31</v>
      </c>
      <c r="Q28" s="24"/>
      <c r="R28" s="24"/>
      <c r="S28" s="12"/>
      <c r="T28" s="12"/>
      <c r="U28" s="12"/>
    </row>
    <row r="29" spans="1:21" ht="14.4">
      <c r="A29" s="13">
        <f ca="1">IFERROR(__xludf.DUMMYFUNCTION("""COMPUTED_VALUE"""),10)</f>
        <v>10</v>
      </c>
      <c r="B29" s="25" t="str">
        <f ca="1">IFERROR(__xludf.DUMMYFUNCTION("""COMPUTED_VALUE"""),"806 Tucumca")</f>
        <v>806 Tucumca</v>
      </c>
      <c r="C29" s="24"/>
      <c r="D29" s="26"/>
      <c r="E29" s="20" t="str">
        <f ca="1">IFERROR(__xludf.DUMMYFUNCTION("""COMPUTED_VALUE"""),"806 Tucumca")</f>
        <v>806 Tucumca</v>
      </c>
      <c r="F29" s="21"/>
      <c r="G29" s="22"/>
      <c r="H29" s="20"/>
      <c r="I29" s="21"/>
      <c r="J29" s="22"/>
      <c r="K29" s="20"/>
      <c r="L29" s="21"/>
      <c r="M29" s="21"/>
      <c r="N29" s="20"/>
      <c r="O29" s="22"/>
      <c r="P29" s="12"/>
      <c r="Q29" s="20" t="str">
        <f ca="1">IFERROR(__xludf.DUMMYFUNCTION("""COMPUTED_VALUE"""),"804 Tucumca")</f>
        <v>804 Tucumca</v>
      </c>
      <c r="R29" s="22"/>
      <c r="S29" s="12"/>
      <c r="T29" s="12"/>
      <c r="U29" s="12"/>
    </row>
    <row r="30" spans="1:21" ht="14.4">
      <c r="A30" s="12"/>
      <c r="B30" s="20"/>
      <c r="C30" s="21"/>
      <c r="D30" s="21"/>
      <c r="E30" s="20"/>
      <c r="F30" s="21"/>
      <c r="G30" s="22"/>
      <c r="H30" s="25" t="str">
        <f ca="1">IFERROR(__xludf.DUMMYFUNCTION("""COMPUTED_VALUE"""),"310 Tucumca")</f>
        <v>310 Tucumca</v>
      </c>
      <c r="I30" s="24"/>
      <c r="J30" s="26"/>
      <c r="K30" s="20"/>
      <c r="L30" s="21"/>
      <c r="M30" s="21"/>
      <c r="N30" s="20"/>
      <c r="O30" s="22"/>
      <c r="P30" s="12"/>
      <c r="Q30" s="20"/>
      <c r="R30" s="22"/>
      <c r="S30" s="12"/>
      <c r="T30" s="12"/>
      <c r="U30" s="12"/>
    </row>
    <row r="31" spans="1:21" ht="14.4">
      <c r="A31" s="12"/>
      <c r="B31" s="23" t="str">
        <f ca="1">IFERROR(__xludf.DUMMYFUNCTION("""COMPUTED_VALUE"""),"Game 8")</f>
        <v>Game 8</v>
      </c>
      <c r="C31" s="24"/>
      <c r="D31" s="24"/>
      <c r="E31" s="20"/>
      <c r="F31" s="21"/>
      <c r="G31" s="22"/>
      <c r="H31" s="20"/>
      <c r="I31" s="21"/>
      <c r="J31" s="21"/>
      <c r="K31" s="20"/>
      <c r="L31" s="21"/>
      <c r="M31" s="21"/>
      <c r="N31" s="20"/>
      <c r="O31" s="22"/>
      <c r="P31" s="12"/>
      <c r="Q31" s="20"/>
      <c r="R31" s="22"/>
      <c r="S31" s="25" t="str">
        <f ca="1">IFERROR(__xludf.DUMMYFUNCTION("""COMPUTED_VALUE"""),"804 Tucumca")</f>
        <v>804 Tucumca</v>
      </c>
      <c r="T31" s="24"/>
      <c r="U31" s="24"/>
    </row>
    <row r="32" spans="1:21" ht="14.4">
      <c r="A32" s="13">
        <f ca="1">IFERROR(__xludf.DUMMYFUNCTION("""COMPUTED_VALUE"""),2)</f>
        <v>2</v>
      </c>
      <c r="B32" s="20" t="str">
        <f ca="1">IFERROR(__xludf.DUMMYFUNCTION("""COMPUTED_VALUE"""),"310 Tucumca")</f>
        <v>310 Tucumca</v>
      </c>
      <c r="C32" s="21"/>
      <c r="D32" s="22"/>
      <c r="E32" s="25" t="str">
        <f ca="1">IFERROR(__xludf.DUMMYFUNCTION("""COMPUTED_VALUE"""),"310 Tucumca")</f>
        <v>310 Tucumca</v>
      </c>
      <c r="F32" s="24"/>
      <c r="G32" s="26"/>
      <c r="H32" s="20"/>
      <c r="I32" s="21"/>
      <c r="J32" s="21"/>
      <c r="K32" s="20"/>
      <c r="L32" s="21"/>
      <c r="M32" s="21"/>
      <c r="N32" s="20"/>
      <c r="O32" s="22"/>
      <c r="P32" s="12"/>
      <c r="Q32" s="20"/>
      <c r="R32" s="22"/>
      <c r="S32" s="12"/>
      <c r="T32" s="12"/>
      <c r="U32" s="12"/>
    </row>
    <row r="33" spans="1:21" ht="14.4">
      <c r="A33" s="13">
        <f ca="1">IFERROR(__xludf.DUMMYFUNCTION("""COMPUTED_VALUE"""),15)</f>
        <v>15</v>
      </c>
      <c r="B33" s="27" t="str">
        <f ca="1">IFERROR(__xludf.DUMMYFUNCTION("""COMPUTED_VALUE"""),"Bye")</f>
        <v>Bye</v>
      </c>
      <c r="C33" s="24"/>
      <c r="D33" s="26"/>
      <c r="E33" s="20"/>
      <c r="F33" s="21"/>
      <c r="G33" s="21"/>
      <c r="H33" s="20"/>
      <c r="I33" s="21"/>
      <c r="J33" s="21"/>
      <c r="K33" s="20"/>
      <c r="L33" s="21"/>
      <c r="M33" s="21"/>
      <c r="N33" s="20"/>
      <c r="O33" s="22"/>
      <c r="P33" s="12"/>
      <c r="Q33" s="20"/>
      <c r="R33" s="22"/>
      <c r="S33" s="12"/>
      <c r="T33" s="12"/>
      <c r="U33" s="12"/>
    </row>
    <row r="34" spans="1:21" ht="14.4">
      <c r="A34" s="14"/>
      <c r="B34" s="31"/>
      <c r="C34" s="32"/>
      <c r="D34" s="32"/>
      <c r="E34" s="31"/>
      <c r="F34" s="32"/>
      <c r="G34" s="32"/>
      <c r="H34" s="31"/>
      <c r="I34" s="32"/>
      <c r="J34" s="32"/>
      <c r="K34" s="31"/>
      <c r="L34" s="32"/>
      <c r="M34" s="32"/>
      <c r="N34" s="14"/>
      <c r="O34" s="15"/>
      <c r="P34" s="12"/>
      <c r="Q34" s="25" t="str">
        <f ca="1">IFERROR(__xludf.DUMMYFUNCTION("""COMPUTED_VALUE"""),"770 Malden ")</f>
        <v xml:space="preserve">770 Malden </v>
      </c>
      <c r="R34" s="26"/>
      <c r="S34" s="12"/>
      <c r="T34" s="12"/>
      <c r="U34" s="12"/>
    </row>
    <row r="35" spans="1:21" ht="14.4">
      <c r="A35" s="12"/>
      <c r="B35" s="28" t="str">
        <f ca="1">IFERROR(__xludf.DUMMYFUNCTION("""COMPUTED_VALUE"""),"Ranger Consolation Bracket")</f>
        <v>Ranger Consolation Bracket</v>
      </c>
      <c r="C35" s="21"/>
      <c r="D35" s="21"/>
      <c r="E35" s="21"/>
      <c r="F35" s="21"/>
      <c r="G35" s="21"/>
      <c r="H35" s="20"/>
      <c r="I35" s="21"/>
      <c r="J35" s="20"/>
      <c r="K35" s="21"/>
      <c r="L35" s="23" t="str">
        <f ca="1">IFERROR(__xludf.DUMMYFUNCTION("""COMPUTED_VALUE"""),"Game 29")</f>
        <v>Game 29</v>
      </c>
      <c r="M35" s="24"/>
      <c r="N35" s="12"/>
      <c r="O35" s="16"/>
      <c r="P35" s="12"/>
      <c r="Q35" s="12"/>
      <c r="R35" s="12"/>
      <c r="S35" s="12"/>
      <c r="T35" s="12"/>
      <c r="U35" s="12"/>
    </row>
    <row r="36" spans="1:21" ht="14.4">
      <c r="A36" s="12"/>
      <c r="B36" s="21"/>
      <c r="C36" s="21"/>
      <c r="D36" s="21"/>
      <c r="E36" s="21"/>
      <c r="F36" s="21"/>
      <c r="G36" s="21"/>
      <c r="H36" s="20"/>
      <c r="I36" s="21"/>
      <c r="J36" s="20"/>
      <c r="K36" s="21"/>
      <c r="L36" s="20" t="str">
        <f ca="1">IFERROR(__xludf.DUMMYFUNCTION("""COMPUTED_VALUE"""),"310 Tucumca")</f>
        <v>310 Tucumca</v>
      </c>
      <c r="M36" s="22"/>
      <c r="N36" s="12"/>
      <c r="O36" s="16"/>
      <c r="P36" s="12"/>
      <c r="Q36" s="12"/>
      <c r="R36" s="12"/>
      <c r="S36" s="12"/>
      <c r="T36" s="12"/>
      <c r="U36" s="12"/>
    </row>
    <row r="37" spans="1:21" ht="14.4">
      <c r="A37" s="12"/>
      <c r="B37" s="20"/>
      <c r="C37" s="21"/>
      <c r="D37" s="20"/>
      <c r="E37" s="21"/>
      <c r="F37" s="20"/>
      <c r="G37" s="21"/>
      <c r="H37" s="33" t="str">
        <f ca="1">IFERROR(__xludf.DUMMYFUNCTION("""COMPUTED_VALUE"""),"Game 25")</f>
        <v>Game 25</v>
      </c>
      <c r="I37" s="24"/>
      <c r="J37" s="20"/>
      <c r="K37" s="21"/>
      <c r="L37" s="20"/>
      <c r="M37" s="22"/>
      <c r="N37" s="12"/>
      <c r="O37" s="16"/>
      <c r="P37" s="12"/>
      <c r="Q37" s="12"/>
      <c r="R37" s="12"/>
      <c r="S37" s="12"/>
      <c r="T37" s="12"/>
      <c r="U37" s="12"/>
    </row>
    <row r="38" spans="1:21" ht="14.4">
      <c r="A38" s="12"/>
      <c r="B38" s="20"/>
      <c r="C38" s="21"/>
      <c r="D38" s="23" t="str">
        <f ca="1">IFERROR(__xludf.DUMMYFUNCTION("""COMPUTED_VALUE"""),"Game 17")</f>
        <v>Game 17</v>
      </c>
      <c r="E38" s="24"/>
      <c r="F38" s="20"/>
      <c r="G38" s="21"/>
      <c r="H38" s="20" t="str">
        <f ca="1">IFERROR(__xludf.DUMMYFUNCTION("""COMPUTED_VALUE"""),"804 Tucumca")</f>
        <v>804 Tucumca</v>
      </c>
      <c r="I38" s="22"/>
      <c r="J38" s="20"/>
      <c r="K38" s="21"/>
      <c r="L38" s="20"/>
      <c r="M38" s="22"/>
      <c r="N38" s="12"/>
      <c r="O38" s="16"/>
      <c r="P38" s="12"/>
      <c r="Q38" s="12"/>
      <c r="R38" s="12"/>
      <c r="S38" s="12"/>
      <c r="T38" s="20"/>
      <c r="U38" s="21"/>
    </row>
    <row r="39" spans="1:21" ht="14.4">
      <c r="A39" s="12"/>
      <c r="B39" s="23" t="str">
        <f ca="1">IFERROR(__xludf.DUMMYFUNCTION("""COMPUTED_VALUE"""),"Game 9")</f>
        <v>Game 9</v>
      </c>
      <c r="C39" s="24"/>
      <c r="D39" s="20" t="str">
        <f ca="1">IFERROR(__xludf.DUMMYFUNCTION("""COMPUTED_VALUE"""),"806 Tucumca")</f>
        <v>806 Tucumca</v>
      </c>
      <c r="E39" s="22"/>
      <c r="F39" s="23" t="str">
        <f ca="1">IFERROR(__xludf.DUMMYFUNCTION("""COMPUTED_VALUE"""),"Game 23")</f>
        <v>Game 23</v>
      </c>
      <c r="G39" s="24"/>
      <c r="H39" s="20"/>
      <c r="I39" s="22"/>
      <c r="J39" s="23" t="str">
        <f ca="1">IFERROR(__xludf.DUMMYFUNCTION("""COMPUTED_VALUE"""),"Game 28")</f>
        <v>Game 28</v>
      </c>
      <c r="K39" s="24"/>
      <c r="L39" s="20"/>
      <c r="M39" s="22"/>
      <c r="N39" s="25" t="str">
        <f ca="1">IFERROR(__xludf.DUMMYFUNCTION("""COMPUTED_VALUE"""),"804 Tucumca")</f>
        <v>804 Tucumca</v>
      </c>
      <c r="O39" s="26"/>
      <c r="P39" s="12"/>
      <c r="Q39" s="12"/>
      <c r="R39" s="12"/>
      <c r="S39" s="12"/>
      <c r="T39" s="20"/>
      <c r="U39" s="21"/>
    </row>
    <row r="40" spans="1:21" ht="14.4">
      <c r="A40" s="12"/>
      <c r="B40" s="20" t="str">
        <f ca="1">IFERROR(__xludf.DUMMYFUNCTION("""COMPUTED_VALUE"""),"Bye")</f>
        <v>Bye</v>
      </c>
      <c r="C40" s="22"/>
      <c r="D40" s="25" t="str">
        <f ca="1">IFERROR(__xludf.DUMMYFUNCTION("""COMPUTED_VALUE"""),"504 Great M")</f>
        <v>504 Great M</v>
      </c>
      <c r="E40" s="26"/>
      <c r="F40" s="20" t="str">
        <f ca="1">IFERROR(__xludf.DUMMYFUNCTION("""COMPUTED_VALUE"""),"504 Great M")</f>
        <v>504 Great M</v>
      </c>
      <c r="G40" s="22"/>
      <c r="H40" s="20"/>
      <c r="I40" s="22"/>
      <c r="J40" s="20" t="str">
        <f ca="1">IFERROR(__xludf.DUMMYFUNCTION("""COMPUTED_VALUE"""),"804 Tucumca")</f>
        <v>804 Tucumca</v>
      </c>
      <c r="K40" s="22"/>
      <c r="L40" s="20"/>
      <c r="M40" s="22"/>
      <c r="N40" s="12"/>
      <c r="O40" s="12"/>
      <c r="P40" s="12"/>
      <c r="Q40" s="20"/>
      <c r="R40" s="21"/>
      <c r="S40" s="21"/>
      <c r="T40" s="20"/>
      <c r="U40" s="21"/>
    </row>
    <row r="41" spans="1:21" ht="14.4">
      <c r="A41" s="12"/>
      <c r="B41" s="25" t="str">
        <f ca="1">IFERROR(__xludf.DUMMYFUNCTION("""COMPUTED_VALUE"""),"504 Great M")</f>
        <v>504 Great M</v>
      </c>
      <c r="C41" s="26"/>
      <c r="D41" s="20"/>
      <c r="E41" s="21"/>
      <c r="F41" s="20"/>
      <c r="G41" s="22"/>
      <c r="H41" s="25" t="str">
        <f ca="1">IFERROR(__xludf.DUMMYFUNCTION("""COMPUTED_VALUE"""),"086 Bald Ea")</f>
        <v>086 Bald Ea</v>
      </c>
      <c r="I41" s="26"/>
      <c r="J41" s="20"/>
      <c r="K41" s="22"/>
      <c r="L41" s="20"/>
      <c r="M41" s="22"/>
      <c r="N41" s="12"/>
      <c r="O41" s="20"/>
      <c r="P41" s="21"/>
      <c r="Q41" s="20"/>
      <c r="R41" s="21"/>
      <c r="S41" s="21"/>
      <c r="T41" s="20"/>
      <c r="U41" s="21"/>
    </row>
    <row r="42" spans="1:21" ht="14.4">
      <c r="A42" s="12"/>
      <c r="B42" s="20"/>
      <c r="C42" s="21"/>
      <c r="D42" s="23" t="str">
        <f ca="1">IFERROR(__xludf.DUMMYFUNCTION("""COMPUTED_VALUE"""),"Game 18")</f>
        <v>Game 18</v>
      </c>
      <c r="E42" s="24"/>
      <c r="F42" s="20"/>
      <c r="G42" s="22"/>
      <c r="H42" s="20"/>
      <c r="I42" s="21"/>
      <c r="J42" s="20"/>
      <c r="K42" s="22"/>
      <c r="L42" s="20"/>
      <c r="M42" s="22"/>
      <c r="N42" s="12"/>
      <c r="O42" s="20"/>
      <c r="P42" s="21"/>
      <c r="Q42" s="20"/>
      <c r="R42" s="21"/>
      <c r="S42" s="21"/>
      <c r="T42" s="20"/>
      <c r="U42" s="21"/>
    </row>
    <row r="43" spans="1:21" ht="14.4">
      <c r="A43" s="12"/>
      <c r="B43" s="23" t="str">
        <f ca="1">IFERROR(__xludf.DUMMYFUNCTION("""COMPUTED_VALUE"""),"Game 10")</f>
        <v>Game 10</v>
      </c>
      <c r="C43" s="24"/>
      <c r="D43" s="20" t="str">
        <f ca="1">IFERROR(__xludf.DUMMYFUNCTION("""COMPUTED_VALUE"""),"059 Millwoo")</f>
        <v>059 Millwoo</v>
      </c>
      <c r="E43" s="22"/>
      <c r="F43" s="25" t="str">
        <f ca="1">IFERROR(__xludf.DUMMYFUNCTION("""COMPUTED_VALUE"""),"086 Bald Ea")</f>
        <v>086 Bald Ea</v>
      </c>
      <c r="G43" s="26"/>
      <c r="H43" s="20"/>
      <c r="I43" s="21"/>
      <c r="J43" s="20"/>
      <c r="K43" s="22"/>
      <c r="L43" s="25" t="str">
        <f ca="1">IFERROR(__xludf.DUMMYFUNCTION("""COMPUTED_VALUE"""),"804 Tucumca")</f>
        <v>804 Tucumca</v>
      </c>
      <c r="M43" s="26"/>
      <c r="N43" s="12"/>
      <c r="O43" s="20"/>
      <c r="P43" s="21"/>
      <c r="Q43" s="20"/>
      <c r="R43" s="21"/>
      <c r="S43" s="21"/>
      <c r="T43" s="20"/>
      <c r="U43" s="21"/>
    </row>
    <row r="44" spans="1:21" ht="14.4">
      <c r="A44" s="12"/>
      <c r="B44" s="20" t="str">
        <f ca="1">IFERROR(__xludf.DUMMYFUNCTION("""COMPUTED_VALUE"""),"661 Olive T")</f>
        <v>661 Olive T</v>
      </c>
      <c r="C44" s="22"/>
      <c r="D44" s="25" t="str">
        <f ca="1">IFERROR(__xludf.DUMMYFUNCTION("""COMPUTED_VALUE"""),"086 Bald Ea")</f>
        <v>086 Bald Ea</v>
      </c>
      <c r="E44" s="26"/>
      <c r="F44" s="20"/>
      <c r="G44" s="21"/>
      <c r="H44" s="20"/>
      <c r="I44" s="21"/>
      <c r="J44" s="20"/>
      <c r="K44" s="22"/>
      <c r="L44" s="20"/>
      <c r="M44" s="21"/>
      <c r="N44" s="12"/>
      <c r="O44" s="20"/>
      <c r="P44" s="21"/>
      <c r="Q44" s="20"/>
      <c r="R44" s="21"/>
      <c r="S44" s="21"/>
      <c r="T44" s="20"/>
      <c r="U44" s="21"/>
    </row>
    <row r="45" spans="1:21" ht="14.4">
      <c r="A45" s="12"/>
      <c r="B45" s="25" t="str">
        <f ca="1">IFERROR(__xludf.DUMMYFUNCTION("""COMPUTED_VALUE"""),"086 Bald Ea")</f>
        <v>086 Bald Ea</v>
      </c>
      <c r="C45" s="26"/>
      <c r="D45" s="20"/>
      <c r="E45" s="21"/>
      <c r="F45" s="20"/>
      <c r="G45" s="21"/>
      <c r="H45" s="33" t="str">
        <f ca="1">IFERROR(__xludf.DUMMYFUNCTION("""COMPUTED_VALUE"""),"Game 26")</f>
        <v>Game 26</v>
      </c>
      <c r="I45" s="24"/>
      <c r="J45" s="20"/>
      <c r="K45" s="22"/>
      <c r="L45" s="20"/>
      <c r="M45" s="21"/>
      <c r="N45" s="12"/>
      <c r="O45" s="20"/>
      <c r="P45" s="21"/>
      <c r="Q45" s="20"/>
      <c r="R45" s="21"/>
      <c r="S45" s="21"/>
      <c r="T45" s="20"/>
      <c r="U45" s="21"/>
    </row>
    <row r="46" spans="1:21" ht="14.4">
      <c r="A46" s="12"/>
      <c r="B46" s="20"/>
      <c r="C46" s="21"/>
      <c r="D46" s="23" t="str">
        <f ca="1">IFERROR(__xludf.DUMMYFUNCTION("""COMPUTED_VALUE"""),"Game 19")</f>
        <v>Game 19</v>
      </c>
      <c r="E46" s="24"/>
      <c r="F46" s="20"/>
      <c r="G46" s="21"/>
      <c r="H46" s="20" t="str">
        <f ca="1">IFERROR(__xludf.DUMMYFUNCTION("""COMPUTED_VALUE"""),"803 Tucumca")</f>
        <v>803 Tucumca</v>
      </c>
      <c r="I46" s="22"/>
      <c r="J46" s="20"/>
      <c r="K46" s="22"/>
      <c r="L46" s="20"/>
      <c r="M46" s="21"/>
      <c r="N46" s="12"/>
      <c r="O46" s="20"/>
      <c r="P46" s="21"/>
      <c r="Q46" s="20"/>
      <c r="R46" s="21"/>
      <c r="S46" s="21"/>
      <c r="T46" s="20"/>
      <c r="U46" s="21"/>
    </row>
    <row r="47" spans="1:21" ht="14.4">
      <c r="A47" s="12"/>
      <c r="B47" s="23" t="str">
        <f ca="1">IFERROR(__xludf.DUMMYFUNCTION("""COMPUTED_VALUE"""),"Game 11")</f>
        <v>Game 11</v>
      </c>
      <c r="C47" s="24"/>
      <c r="D47" s="20" t="str">
        <f ca="1">IFERROR(__xludf.DUMMYFUNCTION("""COMPUTED_VALUE"""),"921 Austral")</f>
        <v>921 Austral</v>
      </c>
      <c r="E47" s="22"/>
      <c r="F47" s="23" t="str">
        <f ca="1">IFERROR(__xludf.DUMMYFUNCTION("""COMPUTED_VALUE"""),"Game 24")</f>
        <v>Game 24</v>
      </c>
      <c r="G47" s="24"/>
      <c r="H47" s="20"/>
      <c r="I47" s="22"/>
      <c r="J47" s="25" t="str">
        <f ca="1">IFERROR(__xludf.DUMMYFUNCTION("""COMPUTED_VALUE"""),"617 TGM All")</f>
        <v>617 TGM All</v>
      </c>
      <c r="K47" s="26"/>
      <c r="L47" s="20"/>
      <c r="M47" s="21"/>
      <c r="N47" s="12"/>
      <c r="O47" s="20"/>
      <c r="P47" s="21"/>
      <c r="Q47" s="20"/>
      <c r="R47" s="21"/>
      <c r="S47" s="21"/>
      <c r="T47" s="20"/>
      <c r="U47" s="21"/>
    </row>
    <row r="48" spans="1:21" ht="14.4">
      <c r="A48" s="12"/>
      <c r="B48" s="20" t="str">
        <f ca="1">IFERROR(__xludf.DUMMYFUNCTION("""COMPUTED_VALUE"""),"866 Buffalo")</f>
        <v>866 Buffalo</v>
      </c>
      <c r="C48" s="22"/>
      <c r="D48" s="25" t="str">
        <f ca="1">IFERROR(__xludf.DUMMYFUNCTION("""COMPUTED_VALUE"""),"889 Jerome ")</f>
        <v xml:space="preserve">889 Jerome </v>
      </c>
      <c r="E48" s="26"/>
      <c r="F48" s="20" t="str">
        <f ca="1">IFERROR(__xludf.DUMMYFUNCTION("""COMPUTED_VALUE"""),"889 Jerome ")</f>
        <v xml:space="preserve">889 Jerome </v>
      </c>
      <c r="G48" s="22"/>
      <c r="H48" s="20"/>
      <c r="I48" s="22"/>
      <c r="J48" s="20"/>
      <c r="K48" s="21"/>
      <c r="L48" s="20"/>
      <c r="M48" s="21"/>
      <c r="N48" s="12"/>
      <c r="O48" s="20"/>
      <c r="P48" s="21"/>
      <c r="Q48" s="20"/>
      <c r="R48" s="21"/>
      <c r="S48" s="21"/>
      <c r="T48" s="20"/>
      <c r="U48" s="21"/>
    </row>
    <row r="49" spans="1:21" ht="14.4">
      <c r="A49" s="12"/>
      <c r="B49" s="25" t="str">
        <f ca="1">IFERROR(__xludf.DUMMYFUNCTION("""COMPUTED_VALUE"""),"889 Jerome ")</f>
        <v xml:space="preserve">889 Jerome </v>
      </c>
      <c r="C49" s="26"/>
      <c r="D49" s="20"/>
      <c r="E49" s="21"/>
      <c r="F49" s="20"/>
      <c r="G49" s="22"/>
      <c r="H49" s="25" t="str">
        <f ca="1">IFERROR(__xludf.DUMMYFUNCTION("""COMPUTED_VALUE"""),"617 TGM All")</f>
        <v>617 TGM All</v>
      </c>
      <c r="I49" s="26"/>
      <c r="J49" s="20"/>
      <c r="K49" s="21"/>
      <c r="L49" s="20"/>
      <c r="M49" s="21"/>
      <c r="N49" s="12"/>
      <c r="O49" s="20"/>
      <c r="P49" s="21"/>
      <c r="Q49" s="20"/>
      <c r="R49" s="21"/>
      <c r="S49" s="21"/>
      <c r="T49" s="20"/>
      <c r="U49" s="21"/>
    </row>
    <row r="50" spans="1:21" ht="14.4">
      <c r="A50" s="12"/>
      <c r="B50" s="20"/>
      <c r="C50" s="21"/>
      <c r="D50" s="23" t="str">
        <f ca="1">IFERROR(__xludf.DUMMYFUNCTION("""COMPUTED_VALUE"""),"Game 20")</f>
        <v>Game 20</v>
      </c>
      <c r="E50" s="24"/>
      <c r="F50" s="20"/>
      <c r="G50" s="22"/>
      <c r="H50" s="20"/>
      <c r="I50" s="21"/>
      <c r="J50" s="20"/>
      <c r="K50" s="21"/>
      <c r="L50" s="20"/>
      <c r="M50" s="21"/>
      <c r="N50" s="12"/>
      <c r="O50" s="20"/>
      <c r="P50" s="21"/>
      <c r="Q50" s="20"/>
      <c r="R50" s="21"/>
      <c r="S50" s="21"/>
      <c r="T50" s="20"/>
      <c r="U50" s="21"/>
    </row>
    <row r="51" spans="1:21" ht="14.4">
      <c r="A51" s="12"/>
      <c r="B51" s="23" t="str">
        <f ca="1">IFERROR(__xludf.DUMMYFUNCTION("""COMPUTED_VALUE"""),"Game 12")</f>
        <v>Game 12</v>
      </c>
      <c r="C51" s="24"/>
      <c r="D51" s="20" t="str">
        <f ca="1">IFERROR(__xludf.DUMMYFUNCTION("""COMPUTED_VALUE"""),"617 TGM All")</f>
        <v>617 TGM All</v>
      </c>
      <c r="E51" s="22"/>
      <c r="F51" s="25" t="str">
        <f ca="1">IFERROR(__xludf.DUMMYFUNCTION("""COMPUTED_VALUE"""),"617 TGM All")</f>
        <v>617 TGM All</v>
      </c>
      <c r="G51" s="26"/>
      <c r="H51" s="20"/>
      <c r="I51" s="21"/>
      <c r="J51" s="20"/>
      <c r="K51" s="21"/>
      <c r="L51" s="20"/>
      <c r="M51" s="21"/>
      <c r="N51" s="12"/>
      <c r="O51" s="20"/>
      <c r="P51" s="21"/>
      <c r="Q51" s="20"/>
      <c r="R51" s="21"/>
      <c r="S51" s="21"/>
      <c r="T51" s="20"/>
      <c r="U51" s="21"/>
    </row>
    <row r="52" spans="1:21" ht="14.4">
      <c r="A52" s="12"/>
      <c r="B52" s="20" t="str">
        <f ca="1">IFERROR(__xludf.DUMMYFUNCTION("""COMPUTED_VALUE"""),"711 Curtis ")</f>
        <v xml:space="preserve">711 Curtis </v>
      </c>
      <c r="C52" s="22"/>
      <c r="D52" s="25" t="str">
        <f ca="1">IFERROR(__xludf.DUMMYFUNCTION("""COMPUTED_VALUE"""),"711 Curtis ")</f>
        <v xml:space="preserve">711 Curtis </v>
      </c>
      <c r="E52" s="26"/>
      <c r="F52" s="20"/>
      <c r="G52" s="21"/>
      <c r="H52" s="20"/>
      <c r="I52" s="21"/>
      <c r="J52" s="20"/>
      <c r="K52" s="21"/>
      <c r="L52" s="20"/>
      <c r="M52" s="21"/>
      <c r="N52" s="12"/>
      <c r="O52" s="20"/>
      <c r="P52" s="21"/>
      <c r="Q52" s="20"/>
      <c r="R52" s="21"/>
      <c r="S52" s="21"/>
      <c r="T52" s="20"/>
      <c r="U52" s="21"/>
    </row>
    <row r="53" spans="1:21" ht="14.4">
      <c r="A53" s="12"/>
      <c r="B53" s="25" t="str">
        <f ca="1">IFERROR(__xludf.DUMMYFUNCTION("""COMPUTED_VALUE"""),"Bye")</f>
        <v>Bye</v>
      </c>
      <c r="C53" s="26"/>
      <c r="D53" s="20"/>
      <c r="E53" s="21"/>
      <c r="F53" s="20"/>
      <c r="G53" s="21"/>
      <c r="H53" s="20"/>
      <c r="I53" s="21"/>
      <c r="J53" s="20"/>
      <c r="K53" s="21"/>
      <c r="L53" s="20"/>
      <c r="M53" s="21"/>
      <c r="N53" s="12"/>
      <c r="O53" s="20"/>
      <c r="P53" s="21"/>
      <c r="Q53" s="20"/>
      <c r="R53" s="21"/>
      <c r="S53" s="21"/>
      <c r="T53" s="20"/>
      <c r="U53" s="21"/>
    </row>
    <row r="54" spans="1:21" ht="14.4">
      <c r="A54" s="12"/>
      <c r="B54" s="20"/>
      <c r="C54" s="21"/>
      <c r="D54" s="20"/>
      <c r="E54" s="21"/>
      <c r="F54" s="20"/>
      <c r="G54" s="21"/>
      <c r="H54" s="20"/>
      <c r="I54" s="21"/>
      <c r="J54" s="20"/>
      <c r="K54" s="21"/>
      <c r="L54" s="20"/>
      <c r="M54" s="21"/>
      <c r="N54" s="12"/>
      <c r="O54" s="20"/>
      <c r="P54" s="21"/>
      <c r="Q54" s="20"/>
      <c r="R54" s="21"/>
      <c r="S54" s="21"/>
      <c r="T54" s="20"/>
      <c r="U54" s="21"/>
    </row>
  </sheetData>
  <mergeCells count="360">
    <mergeCell ref="Q49:S49"/>
    <mergeCell ref="T49:U49"/>
    <mergeCell ref="B49:C49"/>
    <mergeCell ref="D49:E49"/>
    <mergeCell ref="F49:G49"/>
    <mergeCell ref="H49:I49"/>
    <mergeCell ref="J49:K49"/>
    <mergeCell ref="L49:M49"/>
    <mergeCell ref="O49:P49"/>
    <mergeCell ref="Q48:S48"/>
    <mergeCell ref="T48:U48"/>
    <mergeCell ref="B48:C48"/>
    <mergeCell ref="D48:E48"/>
    <mergeCell ref="F48:G48"/>
    <mergeCell ref="H48:I48"/>
    <mergeCell ref="J48:K48"/>
    <mergeCell ref="L48:M48"/>
    <mergeCell ref="O48:P48"/>
    <mergeCell ref="Q47:S47"/>
    <mergeCell ref="T47:U47"/>
    <mergeCell ref="B47:C47"/>
    <mergeCell ref="D47:E47"/>
    <mergeCell ref="F47:G47"/>
    <mergeCell ref="H47:I47"/>
    <mergeCell ref="J47:K47"/>
    <mergeCell ref="L47:M47"/>
    <mergeCell ref="O47:P47"/>
    <mergeCell ref="Q46:S46"/>
    <mergeCell ref="T46:U46"/>
    <mergeCell ref="B46:C46"/>
    <mergeCell ref="D46:E46"/>
    <mergeCell ref="F46:G46"/>
    <mergeCell ref="H46:I46"/>
    <mergeCell ref="J46:K46"/>
    <mergeCell ref="L46:M46"/>
    <mergeCell ref="O46:P46"/>
    <mergeCell ref="B44:C44"/>
    <mergeCell ref="D44:E44"/>
    <mergeCell ref="F44:G44"/>
    <mergeCell ref="H44:I44"/>
    <mergeCell ref="J44:K44"/>
    <mergeCell ref="L44:M44"/>
    <mergeCell ref="O44:P44"/>
    <mergeCell ref="Q45:S45"/>
    <mergeCell ref="T45:U45"/>
    <mergeCell ref="B45:C45"/>
    <mergeCell ref="D45:E45"/>
    <mergeCell ref="F45:G45"/>
    <mergeCell ref="H45:I45"/>
    <mergeCell ref="J45:K45"/>
    <mergeCell ref="L45:M45"/>
    <mergeCell ref="O45:P45"/>
    <mergeCell ref="Q54:S54"/>
    <mergeCell ref="T54:U54"/>
    <mergeCell ref="B54:C54"/>
    <mergeCell ref="D54:E54"/>
    <mergeCell ref="F54:G54"/>
    <mergeCell ref="H54:I54"/>
    <mergeCell ref="J54:K54"/>
    <mergeCell ref="L54:M54"/>
    <mergeCell ref="O54:P54"/>
    <mergeCell ref="T38:U38"/>
    <mergeCell ref="N39:O39"/>
    <mergeCell ref="T39:U39"/>
    <mergeCell ref="B38:C38"/>
    <mergeCell ref="B39:C39"/>
    <mergeCell ref="D39:E39"/>
    <mergeCell ref="F39:G39"/>
    <mergeCell ref="H39:I39"/>
    <mergeCell ref="J39:K39"/>
    <mergeCell ref="L39:M39"/>
    <mergeCell ref="D37:E37"/>
    <mergeCell ref="F37:G37"/>
    <mergeCell ref="H37:I37"/>
    <mergeCell ref="J37:K37"/>
    <mergeCell ref="L37:M37"/>
    <mergeCell ref="B37:C37"/>
    <mergeCell ref="D38:E38"/>
    <mergeCell ref="F38:G38"/>
    <mergeCell ref="H38:I38"/>
    <mergeCell ref="J38:K38"/>
    <mergeCell ref="L38:M38"/>
    <mergeCell ref="B34:D34"/>
    <mergeCell ref="E34:G34"/>
    <mergeCell ref="H34:J34"/>
    <mergeCell ref="K34:M34"/>
    <mergeCell ref="Q34:R34"/>
    <mergeCell ref="B35:G36"/>
    <mergeCell ref="H35:I35"/>
    <mergeCell ref="L36:M36"/>
    <mergeCell ref="H36:I36"/>
    <mergeCell ref="J36:K36"/>
    <mergeCell ref="Q53:S53"/>
    <mergeCell ref="T53:U53"/>
    <mergeCell ref="B53:C53"/>
    <mergeCell ref="D53:E53"/>
    <mergeCell ref="F53:G53"/>
    <mergeCell ref="H53:I53"/>
    <mergeCell ref="J53:K53"/>
    <mergeCell ref="L53:M53"/>
    <mergeCell ref="O53:P53"/>
    <mergeCell ref="Q52:S52"/>
    <mergeCell ref="T52:U52"/>
    <mergeCell ref="B52:C52"/>
    <mergeCell ref="D52:E52"/>
    <mergeCell ref="F52:G52"/>
    <mergeCell ref="H52:I52"/>
    <mergeCell ref="J52:K52"/>
    <mergeCell ref="L52:M52"/>
    <mergeCell ref="O52:P52"/>
    <mergeCell ref="Q51:S51"/>
    <mergeCell ref="T51:U51"/>
    <mergeCell ref="B51:C51"/>
    <mergeCell ref="D51:E51"/>
    <mergeCell ref="F51:G51"/>
    <mergeCell ref="H51:I51"/>
    <mergeCell ref="J51:K51"/>
    <mergeCell ref="L51:M51"/>
    <mergeCell ref="O51:P51"/>
    <mergeCell ref="L41:M41"/>
    <mergeCell ref="Q50:S50"/>
    <mergeCell ref="T50:U50"/>
    <mergeCell ref="B50:C50"/>
    <mergeCell ref="D50:E50"/>
    <mergeCell ref="F50:G50"/>
    <mergeCell ref="H50:I50"/>
    <mergeCell ref="J50:K50"/>
    <mergeCell ref="L50:M50"/>
    <mergeCell ref="O50:P50"/>
    <mergeCell ref="O41:P41"/>
    <mergeCell ref="Q41:S41"/>
    <mergeCell ref="T41:U41"/>
    <mergeCell ref="Q43:S43"/>
    <mergeCell ref="T43:U43"/>
    <mergeCell ref="B43:C43"/>
    <mergeCell ref="D43:E43"/>
    <mergeCell ref="F43:G43"/>
    <mergeCell ref="H43:I43"/>
    <mergeCell ref="J43:K43"/>
    <mergeCell ref="L43:M43"/>
    <mergeCell ref="O43:P43"/>
    <mergeCell ref="Q44:S44"/>
    <mergeCell ref="T44:U44"/>
    <mergeCell ref="J35:K35"/>
    <mergeCell ref="L35:M35"/>
    <mergeCell ref="Q42:S42"/>
    <mergeCell ref="T42:U42"/>
    <mergeCell ref="B42:C42"/>
    <mergeCell ref="D42:E42"/>
    <mergeCell ref="F42:G42"/>
    <mergeCell ref="H42:I42"/>
    <mergeCell ref="J42:K42"/>
    <mergeCell ref="L42:M42"/>
    <mergeCell ref="O42:P42"/>
    <mergeCell ref="D40:E40"/>
    <mergeCell ref="F40:G40"/>
    <mergeCell ref="H40:I40"/>
    <mergeCell ref="J40:K40"/>
    <mergeCell ref="L40:M40"/>
    <mergeCell ref="Q40:S40"/>
    <mergeCell ref="T40:U40"/>
    <mergeCell ref="B40:C40"/>
    <mergeCell ref="B41:C41"/>
    <mergeCell ref="D41:E41"/>
    <mergeCell ref="F41:G41"/>
    <mergeCell ref="H41:I41"/>
    <mergeCell ref="J41:K41"/>
    <mergeCell ref="B9:D9"/>
    <mergeCell ref="E9:G9"/>
    <mergeCell ref="H9:J9"/>
    <mergeCell ref="K9:M9"/>
    <mergeCell ref="N9:O9"/>
    <mergeCell ref="P9:S9"/>
    <mergeCell ref="E6:G6"/>
    <mergeCell ref="H6:J6"/>
    <mergeCell ref="B7:D7"/>
    <mergeCell ref="E7:G7"/>
    <mergeCell ref="H7:J7"/>
    <mergeCell ref="E8:G8"/>
    <mergeCell ref="H8:J8"/>
    <mergeCell ref="K6:M6"/>
    <mergeCell ref="N6:O6"/>
    <mergeCell ref="K7:M7"/>
    <mergeCell ref="N7:O7"/>
    <mergeCell ref="P7:S7"/>
    <mergeCell ref="K8:M8"/>
    <mergeCell ref="N8:O8"/>
    <mergeCell ref="P8:S8"/>
    <mergeCell ref="B5:D5"/>
    <mergeCell ref="E5:G5"/>
    <mergeCell ref="H5:J5"/>
    <mergeCell ref="K5:M5"/>
    <mergeCell ref="N5:O5"/>
    <mergeCell ref="P5:S5"/>
    <mergeCell ref="B6:D6"/>
    <mergeCell ref="P6:S6"/>
    <mergeCell ref="B8:D8"/>
    <mergeCell ref="B1:F2"/>
    <mergeCell ref="K2:L2"/>
    <mergeCell ref="E3:G3"/>
    <mergeCell ref="H3:J3"/>
    <mergeCell ref="K3:M3"/>
    <mergeCell ref="N3:O3"/>
    <mergeCell ref="P3:S3"/>
    <mergeCell ref="B3:D3"/>
    <mergeCell ref="B4:D4"/>
    <mergeCell ref="E4:G4"/>
    <mergeCell ref="H4:J4"/>
    <mergeCell ref="K4:M4"/>
    <mergeCell ref="N4:O4"/>
    <mergeCell ref="P4:S4"/>
    <mergeCell ref="E32:G32"/>
    <mergeCell ref="H32:J32"/>
    <mergeCell ref="K32:M32"/>
    <mergeCell ref="N32:O32"/>
    <mergeCell ref="Q32:R32"/>
    <mergeCell ref="B32:D32"/>
    <mergeCell ref="B33:D33"/>
    <mergeCell ref="E33:G33"/>
    <mergeCell ref="H33:J33"/>
    <mergeCell ref="K33:M33"/>
    <mergeCell ref="N33:O33"/>
    <mergeCell ref="Q33:R33"/>
    <mergeCell ref="E31:G31"/>
    <mergeCell ref="H31:J31"/>
    <mergeCell ref="Q31:R31"/>
    <mergeCell ref="S31:U31"/>
    <mergeCell ref="B30:D30"/>
    <mergeCell ref="E30:G30"/>
    <mergeCell ref="H30:J30"/>
    <mergeCell ref="K30:M30"/>
    <mergeCell ref="N30:O30"/>
    <mergeCell ref="Q30:R30"/>
    <mergeCell ref="B31:D31"/>
    <mergeCell ref="K31:M31"/>
    <mergeCell ref="N31:O31"/>
    <mergeCell ref="E28:G28"/>
    <mergeCell ref="H28:J28"/>
    <mergeCell ref="K28:M28"/>
    <mergeCell ref="N28:O28"/>
    <mergeCell ref="P28:R28"/>
    <mergeCell ref="B28:D28"/>
    <mergeCell ref="B29:D29"/>
    <mergeCell ref="E29:G29"/>
    <mergeCell ref="H29:J29"/>
    <mergeCell ref="K29:M29"/>
    <mergeCell ref="N29:O29"/>
    <mergeCell ref="Q29:R29"/>
    <mergeCell ref="H25:J25"/>
    <mergeCell ref="K25:M25"/>
    <mergeCell ref="N25:O25"/>
    <mergeCell ref="P25:S25"/>
    <mergeCell ref="E27:G27"/>
    <mergeCell ref="H27:J27"/>
    <mergeCell ref="B26:D26"/>
    <mergeCell ref="E26:G26"/>
    <mergeCell ref="H26:J26"/>
    <mergeCell ref="K26:M26"/>
    <mergeCell ref="N26:O26"/>
    <mergeCell ref="P26:S26"/>
    <mergeCell ref="B27:D27"/>
    <mergeCell ref="P27:S27"/>
    <mergeCell ref="K27:M27"/>
    <mergeCell ref="N27:O27"/>
    <mergeCell ref="E23:G23"/>
    <mergeCell ref="H23:J23"/>
    <mergeCell ref="P23:S23"/>
    <mergeCell ref="T24:U24"/>
    <mergeCell ref="T25:U25"/>
    <mergeCell ref="T26:U26"/>
    <mergeCell ref="T27:U27"/>
    <mergeCell ref="B22:D22"/>
    <mergeCell ref="E22:G22"/>
    <mergeCell ref="H22:J22"/>
    <mergeCell ref="K22:M22"/>
    <mergeCell ref="N22:O22"/>
    <mergeCell ref="P22:S22"/>
    <mergeCell ref="B23:D23"/>
    <mergeCell ref="K23:M23"/>
    <mergeCell ref="N23:O23"/>
    <mergeCell ref="E24:G24"/>
    <mergeCell ref="H24:J24"/>
    <mergeCell ref="K24:M24"/>
    <mergeCell ref="N24:O24"/>
    <mergeCell ref="P24:S24"/>
    <mergeCell ref="B24:D24"/>
    <mergeCell ref="B25:D25"/>
    <mergeCell ref="E25:G25"/>
    <mergeCell ref="E20:G20"/>
    <mergeCell ref="H20:J20"/>
    <mergeCell ref="K20:M20"/>
    <mergeCell ref="N20:O20"/>
    <mergeCell ref="P20:S20"/>
    <mergeCell ref="B20:D20"/>
    <mergeCell ref="B21:D21"/>
    <mergeCell ref="E21:G21"/>
    <mergeCell ref="H21:J21"/>
    <mergeCell ref="K21:M21"/>
    <mergeCell ref="N21:O21"/>
    <mergeCell ref="P21:S21"/>
    <mergeCell ref="E19:G19"/>
    <mergeCell ref="H19:J19"/>
    <mergeCell ref="B18:D18"/>
    <mergeCell ref="E18:G18"/>
    <mergeCell ref="H18:J18"/>
    <mergeCell ref="K18:M18"/>
    <mergeCell ref="N18:O18"/>
    <mergeCell ref="P18:S18"/>
    <mergeCell ref="B19:D19"/>
    <mergeCell ref="P19:S19"/>
    <mergeCell ref="K19:M19"/>
    <mergeCell ref="N19:O19"/>
    <mergeCell ref="E16:G16"/>
    <mergeCell ref="H16:J16"/>
    <mergeCell ref="K16:M16"/>
    <mergeCell ref="N16:O16"/>
    <mergeCell ref="P16:S16"/>
    <mergeCell ref="B16:D16"/>
    <mergeCell ref="B17:D17"/>
    <mergeCell ref="E17:G17"/>
    <mergeCell ref="H17:J17"/>
    <mergeCell ref="K17:M17"/>
    <mergeCell ref="N17:O17"/>
    <mergeCell ref="P17:S17"/>
    <mergeCell ref="E15:G15"/>
    <mergeCell ref="H15:J15"/>
    <mergeCell ref="B14:D14"/>
    <mergeCell ref="E14:G14"/>
    <mergeCell ref="H14:J14"/>
    <mergeCell ref="K14:M14"/>
    <mergeCell ref="N14:O14"/>
    <mergeCell ref="P14:S14"/>
    <mergeCell ref="B15:D15"/>
    <mergeCell ref="P15:S15"/>
    <mergeCell ref="K15:M15"/>
    <mergeCell ref="N15:O15"/>
    <mergeCell ref="E12:G12"/>
    <mergeCell ref="H12:J12"/>
    <mergeCell ref="K12:M12"/>
    <mergeCell ref="N12:O12"/>
    <mergeCell ref="P12:S12"/>
    <mergeCell ref="B12:D12"/>
    <mergeCell ref="B13:D13"/>
    <mergeCell ref="E13:G13"/>
    <mergeCell ref="H13:J13"/>
    <mergeCell ref="K13:M13"/>
    <mergeCell ref="N13:O13"/>
    <mergeCell ref="P13:S13"/>
    <mergeCell ref="E11:G11"/>
    <mergeCell ref="H11:J11"/>
    <mergeCell ref="B10:D10"/>
    <mergeCell ref="E10:G10"/>
    <mergeCell ref="H10:J10"/>
    <mergeCell ref="K10:M10"/>
    <mergeCell ref="N10:O10"/>
    <mergeCell ref="P10:S10"/>
    <mergeCell ref="B11:D11"/>
    <mergeCell ref="P11:S11"/>
    <mergeCell ref="K11:M11"/>
    <mergeCell ref="N11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6666"/>
    <outlinePr summaryBelow="0" summaryRight="0"/>
  </sheetPr>
  <dimension ref="A1:P4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6640625" defaultRowHeight="15.75" customHeight="1"/>
  <cols>
    <col min="1" max="1" width="47.21875" customWidth="1"/>
    <col min="2" max="2" width="11.88671875" customWidth="1"/>
    <col min="3" max="7" width="5.88671875" customWidth="1"/>
    <col min="8" max="8" width="13.109375" customWidth="1"/>
    <col min="9" max="9" width="9.88671875" customWidth="1"/>
    <col min="10" max="10" width="16" customWidth="1"/>
    <col min="11" max="11" width="15.21875" customWidth="1"/>
    <col min="12" max="12" width="16" customWidth="1"/>
    <col min="13" max="13" width="15.44140625" customWidth="1"/>
    <col min="14" max="15" width="16" customWidth="1"/>
    <col min="16" max="16" width="17.21875" customWidth="1"/>
  </cols>
  <sheetData>
    <row r="1" spans="1:16" ht="15.75" customHeight="1">
      <c r="A1" s="17" t="str">
        <f ca="1">IFERROR(__xludf.DUMMYFUNCTION("IMPORTRANGE(""https://docs.google.com/spreadsheets/d/11rZfuCcnWwx4mypRymG7SP3aoV-_A_PQ83tyDxi-OiQ/edit?pli=1&amp;gid=620283645#gid=620283645"", ""Combined Seeding!A1:P49"")"),"Team Name")</f>
        <v>Team Name</v>
      </c>
      <c r="B1" s="2" t="str">
        <f ca="1">IFERROR(__xludf.DUMMYFUNCTION("""COMPUTED_VALUE"""),"Team Num")</f>
        <v>Team Num</v>
      </c>
      <c r="C1" s="2" t="str">
        <f ca="1">IFERROR(__xludf.DUMMYFUNCTION("""COMPUTED_VALUE"""),"DS 1")</f>
        <v>DS 1</v>
      </c>
      <c r="D1" s="2" t="str">
        <f ca="1">IFERROR(__xludf.DUMMYFUNCTION("""COMPUTED_VALUE"""),"DS 2")</f>
        <v>DS 2</v>
      </c>
      <c r="E1" s="2" t="str">
        <f ca="1">IFERROR(__xludf.DUMMYFUNCTION("""COMPUTED_VALUE"""),"DS 3")</f>
        <v>DS 3</v>
      </c>
      <c r="F1" s="2" t="str">
        <f ca="1">IFERROR(__xludf.DUMMYFUNCTION("""COMPUTED_VALUE"""),"DS 4")</f>
        <v>DS 4</v>
      </c>
      <c r="G1" s="2" t="str">
        <f ca="1">IFERROR(__xludf.DUMMYFUNCTION("""COMPUTED_VALUE"""),"DS 5")</f>
        <v>DS 5</v>
      </c>
      <c r="H1" s="2" t="str">
        <f ca="1">IFERROR(__xludf.DUMMYFUNCTION("""COMPUTED_VALUE"""),"DS Average")</f>
        <v>DS Average</v>
      </c>
      <c r="I1" s="2" t="str">
        <f ca="1">IFERROR(__xludf.DUMMYFUNCTION("""COMPUTED_VALUE"""),"DS Rank")</f>
        <v>DS Rank</v>
      </c>
      <c r="J1" s="2" t="str">
        <f ca="1">IFERROR(__xludf.DUMMYFUNCTION("""COMPUTED_VALUE"""),"DS Raw")</f>
        <v>DS Raw</v>
      </c>
      <c r="K1" s="2" t="str">
        <f ca="1">IFERROR(__xludf.DUMMYFUNCTION("""COMPUTED_VALUE"""),"Seed Average")</f>
        <v>Seed Average</v>
      </c>
      <c r="L1" s="2" t="str">
        <f ca="1">IFERROR(__xludf.DUMMYFUNCTION("""COMPUTED_VALUE"""),"Seed Rank")</f>
        <v>Seed Rank</v>
      </c>
      <c r="M1" s="2" t="str">
        <f ca="1">IFERROR(__xludf.DUMMYFUNCTION("""COMPUTED_VALUE"""),"Seed Raw")</f>
        <v>Seed Raw</v>
      </c>
      <c r="N1" s="2" t="str">
        <f ca="1">IFERROR(__xludf.DUMMYFUNCTION("""COMPUTED_VALUE"""),"All Seed Rank")</f>
        <v>All Seed Rank</v>
      </c>
      <c r="O1" s="2" t="str">
        <f ca="1">IFERROR(__xludf.DUMMYFUNCTION("""COMPUTED_VALUE"""),"All Seed")</f>
        <v>All Seed</v>
      </c>
      <c r="P1" s="2" t="str">
        <f ca="1">IFERROR(__xludf.DUMMYFUNCTION("""COMPUTED_VALUE"""),"Diff")</f>
        <v>Diff</v>
      </c>
    </row>
    <row r="2" spans="1:16" ht="15.75" customHeight="1">
      <c r="A2" s="3" t="str">
        <f ca="1">IFERROR(__xludf.DUMMYFUNCTION("""COMPUTED_VALUE"""),"HTL Wiener Neustadt")</f>
        <v>HTL Wiener Neustadt</v>
      </c>
      <c r="B2" s="1" t="str">
        <f ca="1">IFERROR(__xludf.DUMMYFUNCTION("""COMPUTED_VALUE"""),"606")</f>
        <v>606</v>
      </c>
      <c r="C2" s="4">
        <f ca="1">IFERROR(__xludf.DUMMYFUNCTION("""COMPUTED_VALUE"""),2248)</f>
        <v>2248</v>
      </c>
      <c r="D2" s="4">
        <f ca="1">IFERROR(__xludf.DUMMYFUNCTION("""COMPUTED_VALUE"""),2625)</f>
        <v>2625</v>
      </c>
      <c r="E2" s="4">
        <f ca="1">IFERROR(__xludf.DUMMYFUNCTION("""COMPUTED_VALUE"""),2396)</f>
        <v>2396</v>
      </c>
      <c r="F2" s="4">
        <f ca="1">IFERROR(__xludf.DUMMYFUNCTION("""COMPUTED_VALUE"""),3662)</f>
        <v>3662</v>
      </c>
      <c r="G2" s="4">
        <f ca="1">IFERROR(__xludf.DUMMYFUNCTION("""COMPUTED_VALUE"""),2214)</f>
        <v>2214</v>
      </c>
      <c r="H2" s="4">
        <f ca="1">IFERROR(__xludf.DUMMYFUNCTION("""COMPUTED_VALUE"""),2629)</f>
        <v>2629</v>
      </c>
      <c r="I2" s="4">
        <f ca="1">IFERROR(__xludf.DUMMYFUNCTION("""COMPUTED_VALUE"""),1)</f>
        <v>1</v>
      </c>
      <c r="J2" s="4">
        <f ca="1">IFERROR(__xludf.DUMMYFUNCTION("""COMPUTED_VALUE"""),0.905971236118696)</f>
        <v>0.90597123611869601</v>
      </c>
      <c r="K2" s="4">
        <f ca="1">IFERROR(__xludf.DUMMYFUNCTION("""COMPUTED_VALUE"""),1796)</f>
        <v>1796</v>
      </c>
      <c r="L2" s="4">
        <f ca="1">IFERROR(__xludf.DUMMYFUNCTION("""COMPUTED_VALUE"""),2)</f>
        <v>2</v>
      </c>
      <c r="M2" s="4">
        <f ca="1">IFERROR(__xludf.DUMMYFUNCTION("""COMPUTED_VALUE"""),0.882804752066115)</f>
        <v>0.88280475206611497</v>
      </c>
      <c r="N2" s="4">
        <f ca="1">IFERROR(__xludf.DUMMYFUNCTION("""COMPUTED_VALUE"""),1)</f>
        <v>1</v>
      </c>
      <c r="O2" s="4">
        <f ca="1">IFERROR(__xludf.DUMMYFUNCTION("""COMPUTED_VALUE"""),1.78877598818481)</f>
        <v>1.78877598818481</v>
      </c>
      <c r="P2" s="4">
        <f ca="1">IFERROR(__xludf.DUMMYFUNCTION("""COMPUTED_VALUE"""),0)</f>
        <v>0</v>
      </c>
    </row>
    <row r="3" spans="1:16" ht="15.75" customHeight="1">
      <c r="A3" s="3" t="str">
        <f ca="1">IFERROR(__xludf.DUMMYFUNCTION("""COMPUTED_VALUE"""),"Los Altos Community Team")</f>
        <v>Los Altos Community Team</v>
      </c>
      <c r="B3" s="1" t="str">
        <f ca="1">IFERROR(__xludf.DUMMYFUNCTION("""COMPUTED_VALUE"""),"399")</f>
        <v>399</v>
      </c>
      <c r="C3" s="4">
        <f ca="1">IFERROR(__xludf.DUMMYFUNCTION("""COMPUTED_VALUE"""),1846)</f>
        <v>1846</v>
      </c>
      <c r="D3" s="4">
        <f ca="1">IFERROR(__xludf.DUMMYFUNCTION("""COMPUTED_VALUE"""),1825)</f>
        <v>1825</v>
      </c>
      <c r="E3" s="4">
        <f ca="1">IFERROR(__xludf.DUMMYFUNCTION("""COMPUTED_VALUE"""),2200)</f>
        <v>2200</v>
      </c>
      <c r="F3" s="4">
        <f ca="1">IFERROR(__xludf.DUMMYFUNCTION("""COMPUTED_VALUE"""),1694)</f>
        <v>1694</v>
      </c>
      <c r="G3" s="4">
        <f ca="1">IFERROR(__xludf.DUMMYFUNCTION("""COMPUTED_VALUE"""),1337)</f>
        <v>1337</v>
      </c>
      <c r="H3" s="4">
        <f ca="1">IFERROR(__xludf.DUMMYFUNCTION("""COMPUTED_VALUE"""),1780.4)</f>
        <v>1780.4</v>
      </c>
      <c r="I3" s="4">
        <f ca="1">IFERROR(__xludf.DUMMYFUNCTION("""COMPUTED_VALUE"""),2)</f>
        <v>2</v>
      </c>
      <c r="J3" s="4">
        <f ca="1">IFERROR(__xludf.DUMMYFUNCTION("""COMPUTED_VALUE"""),0.814838582438254)</f>
        <v>0.81483858243825402</v>
      </c>
      <c r="K3" s="4">
        <f ca="1">IFERROR(__xludf.DUMMYFUNCTION("""COMPUTED_VALUE"""),2133)</f>
        <v>2133</v>
      </c>
      <c r="L3" s="4">
        <f ca="1">IFERROR(__xludf.DUMMYFUNCTION("""COMPUTED_VALUE"""),1)</f>
        <v>1</v>
      </c>
      <c r="M3" s="4">
        <f ca="1">IFERROR(__xludf.DUMMYFUNCTION("""COMPUTED_VALUE"""),0.926280991735537)</f>
        <v>0.92628099173553702</v>
      </c>
      <c r="N3" s="4">
        <f ca="1">IFERROR(__xludf.DUMMYFUNCTION("""COMPUTED_VALUE"""),2)</f>
        <v>2</v>
      </c>
      <c r="O3" s="4">
        <f ca="1">IFERROR(__xludf.DUMMYFUNCTION("""COMPUTED_VALUE"""),1.74111957417379)</f>
        <v>1.7411195741737899</v>
      </c>
      <c r="P3" s="4">
        <f ca="1">IFERROR(__xludf.DUMMYFUNCTION("""COMPUTED_VALUE"""),0.0476564140110202)</f>
        <v>4.76564140110202E-2</v>
      </c>
    </row>
    <row r="4" spans="1:16" ht="15.75" customHeight="1">
      <c r="A4" s="3" t="str">
        <f ca="1">IFERROR(__xludf.DUMMYFUNCTION("""COMPUTED_VALUE"""),"HTL Wiener Neustadt")</f>
        <v>HTL Wiener Neustadt</v>
      </c>
      <c r="B4" s="1" t="str">
        <f ca="1">IFERROR(__xludf.DUMMYFUNCTION("""COMPUTED_VALUE"""),"188")</f>
        <v>188</v>
      </c>
      <c r="C4" s="4">
        <f ca="1">IFERROR(__xludf.DUMMYFUNCTION("""COMPUTED_VALUE"""),1649)</f>
        <v>1649</v>
      </c>
      <c r="D4" s="4">
        <f ca="1">IFERROR(__xludf.DUMMYFUNCTION("""COMPUTED_VALUE"""),2108)</f>
        <v>2108</v>
      </c>
      <c r="E4" s="4">
        <f ca="1">IFERROR(__xludf.DUMMYFUNCTION("""COMPUTED_VALUE"""),1570)</f>
        <v>1570</v>
      </c>
      <c r="F4" s="4">
        <f ca="1">IFERROR(__xludf.DUMMYFUNCTION("""COMPUTED_VALUE"""),1503)</f>
        <v>1503</v>
      </c>
      <c r="G4" s="4">
        <f ca="1">IFERROR(__xludf.DUMMYFUNCTION("""COMPUTED_VALUE"""),1006)</f>
        <v>1006</v>
      </c>
      <c r="H4" s="4">
        <f ca="1">IFERROR(__xludf.DUMMYFUNCTION("""COMPUTED_VALUE"""),1567.2)</f>
        <v>1567.2</v>
      </c>
      <c r="I4" s="4">
        <f ca="1">IFERROR(__xludf.DUMMYFUNCTION("""COMPUTED_VALUE"""),3)</f>
        <v>3</v>
      </c>
      <c r="J4" s="4">
        <f ca="1">IFERROR(__xludf.DUMMYFUNCTION("""COMPUTED_VALUE"""),0.781543176163602)</f>
        <v>0.78154317616360203</v>
      </c>
      <c r="K4" s="4">
        <f ca="1">IFERROR(__xludf.DUMMYFUNCTION("""COMPUTED_VALUE"""),1272.5)</f>
        <v>1272.5</v>
      </c>
      <c r="L4" s="4">
        <f ca="1">IFERROR(__xludf.DUMMYFUNCTION("""COMPUTED_VALUE"""),3)</f>
        <v>3</v>
      </c>
      <c r="M4" s="4">
        <f ca="1">IFERROR(__xludf.DUMMYFUNCTION("""COMPUTED_VALUE"""),0.823915289256198)</f>
        <v>0.82391528925619795</v>
      </c>
      <c r="N4" s="4">
        <f ca="1">IFERROR(__xludf.DUMMYFUNCTION("""COMPUTED_VALUE"""),3)</f>
        <v>3</v>
      </c>
      <c r="O4" s="4">
        <f ca="1">IFERROR(__xludf.DUMMYFUNCTION("""COMPUTED_VALUE"""),1.6054584654198)</f>
        <v>1.6054584654198001</v>
      </c>
      <c r="P4" s="4">
        <f ca="1">IFERROR(__xludf.DUMMYFUNCTION("""COMPUTED_VALUE"""),0.135661108753991)</f>
        <v>0.13566110875399101</v>
      </c>
    </row>
    <row r="5" spans="1:16" ht="15.75" customHeight="1">
      <c r="A5" s="3" t="str">
        <f ca="1">IFERROR(__xludf.DUMMYFUNCTION("""COMPUTED_VALUE"""),"Los Altos Community Team")</f>
        <v>Los Altos Community Team</v>
      </c>
      <c r="B5" s="1" t="str">
        <f ca="1">IFERROR(__xludf.DUMMYFUNCTION("""COMPUTED_VALUE"""),"453")</f>
        <v>453</v>
      </c>
      <c r="C5" s="4">
        <f ca="1">IFERROR(__xludf.DUMMYFUNCTION("""COMPUTED_VALUE"""),1152)</f>
        <v>1152</v>
      </c>
      <c r="D5" s="4">
        <f ca="1">IFERROR(__xludf.DUMMYFUNCTION("""COMPUTED_VALUE"""),139)</f>
        <v>139</v>
      </c>
      <c r="E5" s="4">
        <f ca="1">IFERROR(__xludf.DUMMYFUNCTION("""COMPUTED_VALUE"""),767)</f>
        <v>767</v>
      </c>
      <c r="F5" s="4">
        <f ca="1">IFERROR(__xludf.DUMMYFUNCTION("""COMPUTED_VALUE"""),758)</f>
        <v>758</v>
      </c>
      <c r="G5" s="4">
        <f ca="1">IFERROR(__xludf.DUMMYFUNCTION("""COMPUTED_VALUE"""),1172)</f>
        <v>1172</v>
      </c>
      <c r="H5" s="4">
        <f ca="1">IFERROR(__xludf.DUMMYFUNCTION("""COMPUTED_VALUE"""),797.6)</f>
        <v>797.6</v>
      </c>
      <c r="I5" s="4">
        <f ca="1">IFERROR(__xludf.DUMMYFUNCTION("""COMPUTED_VALUE"""),5)</f>
        <v>5</v>
      </c>
      <c r="J5" s="4">
        <f ca="1">IFERROR(__xludf.DUMMYFUNCTION("""COMPUTED_VALUE"""),0.68371260392014)</f>
        <v>0.68371260392013999</v>
      </c>
      <c r="K5" s="4">
        <f ca="1">IFERROR(__xludf.DUMMYFUNCTION("""COMPUTED_VALUE"""),1271.5)</f>
        <v>1271.5</v>
      </c>
      <c r="L5" s="4">
        <f ca="1">IFERROR(__xludf.DUMMYFUNCTION("""COMPUTED_VALUE"""),4)</f>
        <v>4</v>
      </c>
      <c r="M5" s="4">
        <f ca="1">IFERROR(__xludf.DUMMYFUNCTION("""COMPUTED_VALUE"""),0.808207644628099)</f>
        <v>0.80820764462809902</v>
      </c>
      <c r="N5" s="4">
        <f ca="1">IFERROR(__xludf.DUMMYFUNCTION("""COMPUTED_VALUE"""),4)</f>
        <v>4</v>
      </c>
      <c r="O5" s="4">
        <f ca="1">IFERROR(__xludf.DUMMYFUNCTION("""COMPUTED_VALUE"""),1.49192024854823)</f>
        <v>1.4919202485482299</v>
      </c>
      <c r="P5" s="4">
        <f ca="1">IFERROR(__xludf.DUMMYFUNCTION("""COMPUTED_VALUE"""),0.11353821687156)</f>
        <v>0.11353821687156</v>
      </c>
    </row>
    <row r="6" spans="1:16" ht="15.75" customHeight="1">
      <c r="A6" s="3" t="str">
        <f ca="1">IFERROR(__xludf.DUMMYFUNCTION("""COMPUTED_VALUE"""),"HTL St. Pölten")</f>
        <v>HTL St. Pölten</v>
      </c>
      <c r="B6" s="1" t="str">
        <f ca="1">IFERROR(__xludf.DUMMYFUNCTION("""COMPUTED_VALUE"""),"635")</f>
        <v>635</v>
      </c>
      <c r="C6" s="4">
        <f ca="1">IFERROR(__xludf.DUMMYFUNCTION("""COMPUTED_VALUE"""),933)</f>
        <v>933</v>
      </c>
      <c r="D6" s="4">
        <f ca="1">IFERROR(__xludf.DUMMYFUNCTION("""COMPUTED_VALUE"""),1323)</f>
        <v>1323</v>
      </c>
      <c r="E6" s="4">
        <f ca="1">IFERROR(__xludf.DUMMYFUNCTION("""COMPUTED_VALUE"""),1288)</f>
        <v>1288</v>
      </c>
      <c r="F6" s="4">
        <f ca="1">IFERROR(__xludf.DUMMYFUNCTION("""COMPUTED_VALUE"""),1162)</f>
        <v>1162</v>
      </c>
      <c r="G6" s="4">
        <f ca="1">IFERROR(__xludf.DUMMYFUNCTION("""COMPUTED_VALUE"""),169)</f>
        <v>169</v>
      </c>
      <c r="H6" s="4">
        <f ca="1">IFERROR(__xludf.DUMMYFUNCTION("""COMPUTED_VALUE"""),975)</f>
        <v>975</v>
      </c>
      <c r="I6" s="4">
        <f ca="1">IFERROR(__xludf.DUMMYFUNCTION("""COMPUTED_VALUE"""),4)</f>
        <v>4</v>
      </c>
      <c r="J6" s="4">
        <f ca="1">IFERROR(__xludf.DUMMYFUNCTION("""COMPUTED_VALUE"""),0.713749317312943)</f>
        <v>0.713749317312943</v>
      </c>
      <c r="K6" s="4">
        <f ca="1">IFERROR(__xludf.DUMMYFUNCTION("""COMPUTED_VALUE"""),1080.5)</f>
        <v>1080.5</v>
      </c>
      <c r="L6" s="4">
        <f ca="1">IFERROR(__xludf.DUMMYFUNCTION("""COMPUTED_VALUE"""),5)</f>
        <v>5</v>
      </c>
      <c r="M6" s="4">
        <f ca="1">IFERROR(__xludf.DUMMYFUNCTION("""COMPUTED_VALUE"""),0.776797520661157)</f>
        <v>0.77679752066115704</v>
      </c>
      <c r="N6" s="4">
        <f ca="1">IFERROR(__xludf.DUMMYFUNCTION("""COMPUTED_VALUE"""),5)</f>
        <v>5</v>
      </c>
      <c r="O6" s="4">
        <f ca="1">IFERROR(__xludf.DUMMYFUNCTION("""COMPUTED_VALUE"""),1.4905468379741)</f>
        <v>1.4905468379741</v>
      </c>
      <c r="P6" s="4">
        <f ca="1">IFERROR(__xludf.DUMMYFUNCTION("""COMPUTED_VALUE"""),0.00137341057413875)</f>
        <v>1.37341057413875E-3</v>
      </c>
    </row>
    <row r="7" spans="1:16" ht="15.75" customHeight="1">
      <c r="A7" s="3" t="str">
        <f ca="1">IFERROR(__xludf.DUMMYFUNCTION("""COMPUTED_VALUE"""),"PUI CHING MIDDLE SCHOOL")</f>
        <v>PUI CHING MIDDLE SCHOOL</v>
      </c>
      <c r="B7" s="1" t="str">
        <f ca="1">IFERROR(__xludf.DUMMYFUNCTION("""COMPUTED_VALUE"""),"665")</f>
        <v>665</v>
      </c>
      <c r="C7" s="4">
        <f ca="1">IFERROR(__xludf.DUMMYFUNCTION("""COMPUTED_VALUE"""),837)</f>
        <v>837</v>
      </c>
      <c r="D7" s="4">
        <f ca="1">IFERROR(__xludf.DUMMYFUNCTION("""COMPUTED_VALUE"""),964)</f>
        <v>964</v>
      </c>
      <c r="E7" s="4">
        <f ca="1">IFERROR(__xludf.DUMMYFUNCTION("""COMPUTED_VALUE"""),662)</f>
        <v>662</v>
      </c>
      <c r="F7" s="4">
        <f ca="1">IFERROR(__xludf.DUMMYFUNCTION("""COMPUTED_VALUE"""),795)</f>
        <v>795</v>
      </c>
      <c r="G7" s="4">
        <f ca="1">IFERROR(__xludf.DUMMYFUNCTION("""COMPUTED_VALUE"""),633)</f>
        <v>633</v>
      </c>
      <c r="H7" s="4">
        <f ca="1">IFERROR(__xludf.DUMMYFUNCTION("""COMPUTED_VALUE"""),778.2)</f>
        <v>778.2</v>
      </c>
      <c r="I7" s="4">
        <f ca="1">IFERROR(__xludf.DUMMYFUNCTION("""COMPUTED_VALUE"""),6)</f>
        <v>6</v>
      </c>
      <c r="J7" s="4">
        <f ca="1">IFERROR(__xludf.DUMMYFUNCTION("""COMPUTED_VALUE"""),0.668057831179076)</f>
        <v>0.66805783117907602</v>
      </c>
      <c r="K7" s="4">
        <f ca="1">IFERROR(__xludf.DUMMYFUNCTION("""COMPUTED_VALUE"""),699)</f>
        <v>699</v>
      </c>
      <c r="L7" s="4">
        <f ca="1">IFERROR(__xludf.DUMMYFUNCTION("""COMPUTED_VALUE"""),7)</f>
        <v>7</v>
      </c>
      <c r="M7" s="4">
        <f ca="1">IFERROR(__xludf.DUMMYFUNCTION("""COMPUTED_VALUE"""),0.714018595041322)</f>
        <v>0.71401859504132204</v>
      </c>
      <c r="N7" s="4">
        <f ca="1">IFERROR(__xludf.DUMMYFUNCTION("""COMPUTED_VALUE"""),6)</f>
        <v>6</v>
      </c>
      <c r="O7" s="4">
        <f ca="1">IFERROR(__xludf.DUMMYFUNCTION("""COMPUTED_VALUE"""),1.38207642622039)</f>
        <v>1.38207642622039</v>
      </c>
      <c r="P7" s="4">
        <f ca="1">IFERROR(__xludf.DUMMYFUNCTION("""COMPUTED_VALUE"""),0.108470411753702)</f>
        <v>0.10847041175370201</v>
      </c>
    </row>
    <row r="8" spans="1:16" ht="15.75" customHeight="1">
      <c r="A8" s="3" t="str">
        <f ca="1">IFERROR(__xludf.DUMMYFUNCTION("""COMPUTED_VALUE"""),"Beanstalk International Bilingual School-Titan")</f>
        <v>Beanstalk International Bilingual School-Titan</v>
      </c>
      <c r="B8" s="1" t="str">
        <f ca="1">IFERROR(__xludf.DUMMYFUNCTION("""COMPUTED_VALUE"""),"663")</f>
        <v>663</v>
      </c>
      <c r="C8" s="4">
        <f ca="1">IFERROR(__xludf.DUMMYFUNCTION("""COMPUTED_VALUE"""),68)</f>
        <v>68</v>
      </c>
      <c r="D8" s="4">
        <f ca="1">IFERROR(__xludf.DUMMYFUNCTION("""COMPUTED_VALUE"""),1015)</f>
        <v>1015</v>
      </c>
      <c r="E8" s="4">
        <f ca="1">IFERROR(__xludf.DUMMYFUNCTION("""COMPUTED_VALUE"""),851)</f>
        <v>851</v>
      </c>
      <c r="F8" s="4">
        <f ca="1">IFERROR(__xludf.DUMMYFUNCTION("""COMPUTED_VALUE"""),236)</f>
        <v>236</v>
      </c>
      <c r="G8" s="4">
        <f ca="1">IFERROR(__xludf.DUMMYFUNCTION("""COMPUTED_VALUE"""),920)</f>
        <v>920</v>
      </c>
      <c r="H8" s="4">
        <f ca="1">IFERROR(__xludf.DUMMYFUNCTION("""COMPUTED_VALUE"""),618)</f>
        <v>618</v>
      </c>
      <c r="I8" s="4">
        <f ca="1">IFERROR(__xludf.DUMMYFUNCTION("""COMPUTED_VALUE"""),8)</f>
        <v>8</v>
      </c>
      <c r="J8" s="4">
        <f ca="1">IFERROR(__xludf.DUMMYFUNCTION("""COMPUTED_VALUE"""),0.625697857879725)</f>
        <v>0.62569785787972498</v>
      </c>
      <c r="K8" s="4">
        <f ca="1">IFERROR(__xludf.DUMMYFUNCTION("""COMPUTED_VALUE"""),897.5)</f>
        <v>897.5</v>
      </c>
      <c r="L8" s="4">
        <f ca="1">IFERROR(__xludf.DUMMYFUNCTION("""COMPUTED_VALUE"""),6)</f>
        <v>6</v>
      </c>
      <c r="M8" s="4">
        <f ca="1">IFERROR(__xludf.DUMMYFUNCTION("""COMPUTED_VALUE"""),0.746048553719008)</f>
        <v>0.74604855371900802</v>
      </c>
      <c r="N8" s="4">
        <f ca="1">IFERROR(__xludf.DUMMYFUNCTION("""COMPUTED_VALUE"""),7)</f>
        <v>7</v>
      </c>
      <c r="O8" s="4">
        <f ca="1">IFERROR(__xludf.DUMMYFUNCTION("""COMPUTED_VALUE"""),1.37174641159873)</f>
        <v>1.3717464115987299</v>
      </c>
      <c r="P8" s="4">
        <f ca="1">IFERROR(__xludf.DUMMYFUNCTION("""COMPUTED_VALUE"""),0.0103300146216647)</f>
        <v>1.0330014621664701E-2</v>
      </c>
    </row>
    <row r="9" spans="1:16" ht="15.75" customHeight="1">
      <c r="A9" s="3" t="str">
        <f ca="1">IFERROR(__xludf.DUMMYFUNCTION("""COMPUTED_VALUE"""),"Los Altos Community Team - Moonkeys")</f>
        <v>Los Altos Community Team - Moonkeys</v>
      </c>
      <c r="B9" s="1" t="str">
        <f ca="1">IFERROR(__xludf.DUMMYFUNCTION("""COMPUTED_VALUE"""),"329")</f>
        <v>329</v>
      </c>
      <c r="C9" s="4">
        <f ca="1">IFERROR(__xludf.DUMMYFUNCTION("""COMPUTED_VALUE"""),366)</f>
        <v>366</v>
      </c>
      <c r="D9" s="4">
        <f ca="1">IFERROR(__xludf.DUMMYFUNCTION("""COMPUTED_VALUE"""),411)</f>
        <v>411</v>
      </c>
      <c r="E9" s="4">
        <f ca="1">IFERROR(__xludf.DUMMYFUNCTION("""COMPUTED_VALUE"""),134)</f>
        <v>134</v>
      </c>
      <c r="F9" s="4">
        <f ca="1">IFERROR(__xludf.DUMMYFUNCTION("""COMPUTED_VALUE"""),321)</f>
        <v>321</v>
      </c>
      <c r="G9" s="4">
        <f ca="1">IFERROR(__xludf.DUMMYFUNCTION("""COMPUTED_VALUE"""),451)</f>
        <v>451</v>
      </c>
      <c r="H9" s="4">
        <f ca="1">IFERROR(__xludf.DUMMYFUNCTION("""COMPUTED_VALUE"""),336.6)</f>
        <v>336.6</v>
      </c>
      <c r="I9" s="4">
        <f ca="1">IFERROR(__xludf.DUMMYFUNCTION("""COMPUTED_VALUE"""),10)</f>
        <v>10</v>
      </c>
      <c r="J9" s="4">
        <f ca="1">IFERROR(__xludf.DUMMYFUNCTION("""COMPUTED_VALUE"""),0.572305661751319)</f>
        <v>0.57230566175131903</v>
      </c>
      <c r="K9" s="4">
        <f ca="1">IFERROR(__xludf.DUMMYFUNCTION("""COMPUTED_VALUE"""),379.5)</f>
        <v>379.5</v>
      </c>
      <c r="L9" s="4">
        <f ca="1">IFERROR(__xludf.DUMMYFUNCTION("""COMPUTED_VALUE"""),12)</f>
        <v>12</v>
      </c>
      <c r="M9" s="4">
        <f ca="1">IFERROR(__xludf.DUMMYFUNCTION("""COMPUTED_VALUE"""),0.609488636363636)</f>
        <v>0.60948863636363604</v>
      </c>
      <c r="N9" s="4">
        <f ca="1">IFERROR(__xludf.DUMMYFUNCTION("""COMPUTED_VALUE"""),8)</f>
        <v>8</v>
      </c>
      <c r="O9" s="4">
        <f ca="1">IFERROR(__xludf.DUMMYFUNCTION("""COMPUTED_VALUE"""),1.18179429811495)</f>
        <v>1.1817942981149501</v>
      </c>
      <c r="P9" s="4">
        <f ca="1">IFERROR(__xludf.DUMMYFUNCTION("""COMPUTED_VALUE"""),0.189952113483777)</f>
        <v>0.189952113483777</v>
      </c>
    </row>
    <row r="10" spans="1:16" ht="15.75" customHeight="1">
      <c r="A10" s="3" t="str">
        <f ca="1">IFERROR(__xludf.DUMMYFUNCTION("""COMPUTED_VALUE"""),"Radiant Robotics - Irvine")</f>
        <v>Radiant Robotics - Irvine</v>
      </c>
      <c r="B10" s="1" t="str">
        <f ca="1">IFERROR(__xludf.DUMMYFUNCTION("""COMPUTED_VALUE"""),"927")</f>
        <v>927</v>
      </c>
      <c r="C10" s="4">
        <f ca="1">IFERROR(__xludf.DUMMYFUNCTION("""COMPUTED_VALUE"""),260)</f>
        <v>260</v>
      </c>
      <c r="D10" s="4">
        <f ca="1">IFERROR(__xludf.DUMMYFUNCTION("""COMPUTED_VALUE"""),0)</f>
        <v>0</v>
      </c>
      <c r="E10" s="4">
        <f ca="1">IFERROR(__xludf.DUMMYFUNCTION("""COMPUTED_VALUE"""),176)</f>
        <v>176</v>
      </c>
      <c r="F10" s="4">
        <f ca="1">IFERROR(__xludf.DUMMYFUNCTION("""COMPUTED_VALUE"""),322)</f>
        <v>322</v>
      </c>
      <c r="G10" s="4">
        <f ca="1">IFERROR(__xludf.DUMMYFUNCTION("""COMPUTED_VALUE"""),182)</f>
        <v>182</v>
      </c>
      <c r="H10" s="4">
        <f ca="1">IFERROR(__xludf.DUMMYFUNCTION("""COMPUTED_VALUE"""),188)</f>
        <v>188</v>
      </c>
      <c r="I10" s="4">
        <f ca="1">IFERROR(__xludf.DUMMYFUNCTION("""COMPUTED_VALUE"""),15)</f>
        <v>15</v>
      </c>
      <c r="J10" s="4">
        <f ca="1">IFERROR(__xludf.DUMMYFUNCTION("""COMPUTED_VALUE"""),0.489334911098974)</f>
        <v>0.48933491109897398</v>
      </c>
      <c r="K10" s="4">
        <f ca="1">IFERROR(__xludf.DUMMYFUNCTION("""COMPUTED_VALUE"""),574)</f>
        <v>574</v>
      </c>
      <c r="L10" s="4">
        <f ca="1">IFERROR(__xludf.DUMMYFUNCTION("""COMPUTED_VALUE"""),8)</f>
        <v>8</v>
      </c>
      <c r="M10" s="4">
        <f ca="1">IFERROR(__xludf.DUMMYFUNCTION("""COMPUTED_VALUE"""),0.688063016528925)</f>
        <v>0.68806301652892499</v>
      </c>
      <c r="N10" s="4">
        <f ca="1">IFERROR(__xludf.DUMMYFUNCTION("""COMPUTED_VALUE"""),9)</f>
        <v>9</v>
      </c>
      <c r="O10" s="4">
        <f ca="1">IFERROR(__xludf.DUMMYFUNCTION("""COMPUTED_VALUE"""),1.1773979276279)</f>
        <v>1.1773979276279001</v>
      </c>
      <c r="P10" s="4">
        <f ca="1">IFERROR(__xludf.DUMMYFUNCTION("""COMPUTED_VALUE"""),0.00439637048705621)</f>
        <v>4.3963704870562097E-3</v>
      </c>
    </row>
    <row r="11" spans="1:16" ht="15.75" customHeight="1">
      <c r="A11" s="3" t="str">
        <f ca="1">IFERROR(__xludf.DUMMYFUNCTION("""COMPUTED_VALUE"""),"Noble High School")</f>
        <v>Noble High School</v>
      </c>
      <c r="B11" s="1" t="str">
        <f ca="1">IFERROR(__xludf.DUMMYFUNCTION("""COMPUTED_VALUE"""),"468")</f>
        <v>468</v>
      </c>
      <c r="C11" s="4">
        <f ca="1">IFERROR(__xludf.DUMMYFUNCTION("""COMPUTED_VALUE"""),49)</f>
        <v>49</v>
      </c>
      <c r="D11" s="4">
        <f ca="1">IFERROR(__xludf.DUMMYFUNCTION("""COMPUTED_VALUE"""),211)</f>
        <v>211</v>
      </c>
      <c r="E11" s="4">
        <f ca="1">IFERROR(__xludf.DUMMYFUNCTION("""COMPUTED_VALUE"""),152)</f>
        <v>152</v>
      </c>
      <c r="F11" s="4">
        <f ca="1">IFERROR(__xludf.DUMMYFUNCTION("""COMPUTED_VALUE"""),144)</f>
        <v>144</v>
      </c>
      <c r="G11" s="4">
        <f ca="1">IFERROR(__xludf.DUMMYFUNCTION("""COMPUTED_VALUE"""),458)</f>
        <v>458</v>
      </c>
      <c r="H11" s="4">
        <f ca="1">IFERROR(__xludf.DUMMYFUNCTION("""COMPUTED_VALUE"""),202.8)</f>
        <v>202.8</v>
      </c>
      <c r="I11" s="4">
        <f ca="1">IFERROR(__xludf.DUMMYFUNCTION("""COMPUTED_VALUE"""),14)</f>
        <v>14</v>
      </c>
      <c r="J11" s="4">
        <f ca="1">IFERROR(__xludf.DUMMYFUNCTION("""COMPUTED_VALUE"""),0.504570969112203)</f>
        <v>0.504570969112203</v>
      </c>
      <c r="K11" s="4">
        <f ca="1">IFERROR(__xludf.DUMMYFUNCTION("""COMPUTED_VALUE"""),447.5)</f>
        <v>447.5</v>
      </c>
      <c r="L11" s="4">
        <f ca="1">IFERROR(__xludf.DUMMYFUNCTION("""COMPUTED_VALUE"""),9)</f>
        <v>9</v>
      </c>
      <c r="M11" s="4">
        <f ca="1">IFERROR(__xludf.DUMMYFUNCTION("""COMPUTED_VALUE"""),0.66198347107438)</f>
        <v>0.66198347107438005</v>
      </c>
      <c r="N11" s="4">
        <f ca="1">IFERROR(__xludf.DUMMYFUNCTION("""COMPUTED_VALUE"""),10)</f>
        <v>10</v>
      </c>
      <c r="O11" s="4">
        <f ca="1">IFERROR(__xludf.DUMMYFUNCTION("""COMPUTED_VALUE"""),1.16655444018658)</f>
        <v>1.1665544401865799</v>
      </c>
      <c r="P11" s="4">
        <f ca="1">IFERROR(__xludf.DUMMYFUNCTION("""COMPUTED_VALUE"""),0.0108434874413163)</f>
        <v>1.08434874413163E-2</v>
      </c>
    </row>
    <row r="12" spans="1:16" ht="15.75" customHeight="1">
      <c r="A12" s="3" t="str">
        <f ca="1">IFERROR(__xludf.DUMMYFUNCTION("""COMPUTED_VALUE"""),"HTL Wien West")</f>
        <v>HTL Wien West</v>
      </c>
      <c r="B12" s="1" t="str">
        <f ca="1">IFERROR(__xludf.DUMMYFUNCTION("""COMPUTED_VALUE"""),"623")</f>
        <v>623</v>
      </c>
      <c r="C12" s="4">
        <f ca="1">IFERROR(__xludf.DUMMYFUNCTION("""COMPUTED_VALUE"""),98)</f>
        <v>98</v>
      </c>
      <c r="D12" s="4">
        <f ca="1">IFERROR(__xludf.DUMMYFUNCTION("""COMPUTED_VALUE"""),211)</f>
        <v>211</v>
      </c>
      <c r="E12" s="4">
        <f ca="1">IFERROR(__xludf.DUMMYFUNCTION("""COMPUTED_VALUE"""),1436)</f>
        <v>1436</v>
      </c>
      <c r="F12" s="4">
        <f ca="1">IFERROR(__xludf.DUMMYFUNCTION("""COMPUTED_VALUE"""),115)</f>
        <v>115</v>
      </c>
      <c r="G12" s="4">
        <f ca="1">IFERROR(__xludf.DUMMYFUNCTION("""COMPUTED_VALUE"""),338)</f>
        <v>338</v>
      </c>
      <c r="H12" s="4">
        <f ca="1">IFERROR(__xludf.DUMMYFUNCTION("""COMPUTED_VALUE"""),439.6)</f>
        <v>439.6</v>
      </c>
      <c r="I12" s="4">
        <f ca="1">IFERROR(__xludf.DUMMYFUNCTION("""COMPUTED_VALUE"""),9)</f>
        <v>9</v>
      </c>
      <c r="J12" s="4">
        <f ca="1">IFERROR(__xludf.DUMMYFUNCTION("""COMPUTED_VALUE"""),0.595570119546088)</f>
        <v>0.59557011954608796</v>
      </c>
      <c r="K12" s="4">
        <f ca="1">IFERROR(__xludf.DUMMYFUNCTION("""COMPUTED_VALUE"""),270)</f>
        <v>270</v>
      </c>
      <c r="L12" s="4">
        <f ca="1">IFERROR(__xludf.DUMMYFUNCTION("""COMPUTED_VALUE"""),14)</f>
        <v>14</v>
      </c>
      <c r="M12" s="4">
        <f ca="1">IFERROR(__xludf.DUMMYFUNCTION("""COMPUTED_VALUE"""),0.569189049586776)</f>
        <v>0.56918904958677596</v>
      </c>
      <c r="N12" s="4">
        <f ca="1">IFERROR(__xludf.DUMMYFUNCTION("""COMPUTED_VALUE"""),11)</f>
        <v>11</v>
      </c>
      <c r="O12" s="4">
        <f ca="1">IFERROR(__xludf.DUMMYFUNCTION("""COMPUTED_VALUE"""),1.16475916913286)</f>
        <v>1.16475916913286</v>
      </c>
      <c r="P12" s="4">
        <f ca="1">IFERROR(__xludf.DUMMYFUNCTION("""COMPUTED_VALUE"""),0.00179527105371812)</f>
        <v>1.79527105371812E-3</v>
      </c>
    </row>
    <row r="13" spans="1:16" ht="15.75" customHeight="1">
      <c r="A13" s="3" t="str">
        <f ca="1">IFERROR(__xludf.DUMMYFUNCTION("""COMPUTED_VALUE"""),"Westchester Academy for International Studies")</f>
        <v>Westchester Academy for International Studies</v>
      </c>
      <c r="B13" s="1" t="str">
        <f ca="1">IFERROR(__xludf.DUMMYFUNCTION("""COMPUTED_VALUE"""),"840")</f>
        <v>840</v>
      </c>
      <c r="C13" s="4">
        <f ca="1">IFERROR(__xludf.DUMMYFUNCTION("""COMPUTED_VALUE"""),186)</f>
        <v>186</v>
      </c>
      <c r="D13" s="4">
        <f ca="1">IFERROR(__xludf.DUMMYFUNCTION("""COMPUTED_VALUE"""),368)</f>
        <v>368</v>
      </c>
      <c r="E13" s="4">
        <f ca="1">IFERROR(__xludf.DUMMYFUNCTION("""COMPUTED_VALUE"""),339)</f>
        <v>339</v>
      </c>
      <c r="F13" s="4">
        <f ca="1">IFERROR(__xludf.DUMMYFUNCTION("""COMPUTED_VALUE"""),40)</f>
        <v>40</v>
      </c>
      <c r="G13" s="4">
        <f ca="1">IFERROR(__xludf.DUMMYFUNCTION("""COMPUTED_VALUE"""),310)</f>
        <v>310</v>
      </c>
      <c r="H13" s="4">
        <f ca="1">IFERROR(__xludf.DUMMYFUNCTION("""COMPUTED_VALUE"""),248.6)</f>
        <v>248.6</v>
      </c>
      <c r="I13" s="4">
        <f ca="1">IFERROR(__xludf.DUMMYFUNCTION("""COMPUTED_VALUE"""),12)</f>
        <v>12</v>
      </c>
      <c r="J13" s="4">
        <f ca="1">IFERROR(__xludf.DUMMYFUNCTION("""COMPUTED_VALUE"""),0.536517689180168)</f>
        <v>0.53651768918016796</v>
      </c>
      <c r="K13" s="4">
        <f ca="1">IFERROR(__xludf.DUMMYFUNCTION("""COMPUTED_VALUE"""),382.5)</f>
        <v>382.5</v>
      </c>
      <c r="L13" s="4">
        <f ca="1">IFERROR(__xludf.DUMMYFUNCTION("""COMPUTED_VALUE"""),11)</f>
        <v>11</v>
      </c>
      <c r="M13" s="4">
        <f ca="1">IFERROR(__xludf.DUMMYFUNCTION("""COMPUTED_VALUE"""),0.625361570247933)</f>
        <v>0.62536157024793304</v>
      </c>
      <c r="N13" s="4">
        <f ca="1">IFERROR(__xludf.DUMMYFUNCTION("""COMPUTED_VALUE"""),12)</f>
        <v>12</v>
      </c>
      <c r="O13" s="4">
        <f ca="1">IFERROR(__xludf.DUMMYFUNCTION("""COMPUTED_VALUE"""),1.1618792594281)</f>
        <v>1.1618792594281</v>
      </c>
      <c r="P13" s="4">
        <f ca="1">IFERROR(__xludf.DUMMYFUNCTION("""COMPUTED_VALUE"""),0.00287990970476315)</f>
        <v>2.8799097047631501E-3</v>
      </c>
    </row>
    <row r="14" spans="1:16" ht="15.75" customHeight="1">
      <c r="A14" s="3" t="str">
        <f ca="1">IFERROR(__xludf.DUMMYFUNCTION("""COMPUTED_VALUE"""),"Radiant Robotics - Boom")</f>
        <v>Radiant Robotics - Boom</v>
      </c>
      <c r="B14" s="1" t="str">
        <f ca="1">IFERROR(__xludf.DUMMYFUNCTION("""COMPUTED_VALUE"""),"926")</f>
        <v>926</v>
      </c>
      <c r="C14" s="4">
        <f ca="1">IFERROR(__xludf.DUMMYFUNCTION("""COMPUTED_VALUE"""),289)</f>
        <v>289</v>
      </c>
      <c r="D14" s="4">
        <f ca="1">IFERROR(__xludf.DUMMYFUNCTION("""COMPUTED_VALUE"""),303)</f>
        <v>303</v>
      </c>
      <c r="E14" s="4">
        <f ca="1">IFERROR(__xludf.DUMMYFUNCTION("""COMPUTED_VALUE"""),529)</f>
        <v>529</v>
      </c>
      <c r="F14" s="4">
        <f ca="1">IFERROR(__xludf.DUMMYFUNCTION("""COMPUTED_VALUE"""),779)</f>
        <v>779</v>
      </c>
      <c r="G14" s="4">
        <f ca="1">IFERROR(__xludf.DUMMYFUNCTION("""COMPUTED_VALUE"""),1458)</f>
        <v>1458</v>
      </c>
      <c r="H14" s="4">
        <f ca="1">IFERROR(__xludf.DUMMYFUNCTION("""COMPUTED_VALUE"""),671.6)</f>
        <v>671.6</v>
      </c>
      <c r="I14" s="4">
        <f ca="1">IFERROR(__xludf.DUMMYFUNCTION("""COMPUTED_VALUE"""),7)</f>
        <v>7</v>
      </c>
      <c r="J14" s="4">
        <f ca="1">IFERROR(__xludf.DUMMYFUNCTION("""COMPUTED_VALUE"""),0.644465683597305)</f>
        <v>0.64446568359730505</v>
      </c>
      <c r="K14" s="4">
        <f ca="1">IFERROR(__xludf.DUMMYFUNCTION("""COMPUTED_VALUE"""),196)</f>
        <v>196</v>
      </c>
      <c r="L14" s="4">
        <f ca="1">IFERROR(__xludf.DUMMYFUNCTION("""COMPUTED_VALUE"""),17)</f>
        <v>17</v>
      </c>
      <c r="M14" s="4">
        <f ca="1">IFERROR(__xludf.DUMMYFUNCTION("""COMPUTED_VALUE"""),0.516198347107438)</f>
        <v>0.51619834710743795</v>
      </c>
      <c r="N14" s="4">
        <f ca="1">IFERROR(__xludf.DUMMYFUNCTION("""COMPUTED_VALUE"""),13)</f>
        <v>13</v>
      </c>
      <c r="O14" s="4">
        <f ca="1">IFERROR(__xludf.DUMMYFUNCTION("""COMPUTED_VALUE"""),1.16066403070474)</f>
        <v>1.16066403070474</v>
      </c>
      <c r="P14" s="4">
        <f ca="1">IFERROR(__xludf.DUMMYFUNCTION("""COMPUTED_VALUE"""),0.00121522872335866)</f>
        <v>1.2152287233586599E-3</v>
      </c>
    </row>
    <row r="15" spans="1:16" ht="15.75" customHeight="1">
      <c r="A15" s="3" t="str">
        <f ca="1">IFERROR(__xludf.DUMMYFUNCTION("""COMPUTED_VALUE"""),"Colonial Botball")</f>
        <v>Colonial Botball</v>
      </c>
      <c r="B15" s="1" t="str">
        <f ca="1">IFERROR(__xludf.DUMMYFUNCTION("""COMPUTED_VALUE"""),"141")</f>
        <v>141</v>
      </c>
      <c r="C15" s="4">
        <f ca="1">IFERROR(__xludf.DUMMYFUNCTION("""COMPUTED_VALUE"""),162)</f>
        <v>162</v>
      </c>
      <c r="D15" s="4">
        <f ca="1">IFERROR(__xludf.DUMMYFUNCTION("""COMPUTED_VALUE"""),377)</f>
        <v>377</v>
      </c>
      <c r="E15" s="4">
        <f ca="1">IFERROR(__xludf.DUMMYFUNCTION("""COMPUTED_VALUE"""),387)</f>
        <v>387</v>
      </c>
      <c r="F15" s="4">
        <f ca="1">IFERROR(__xludf.DUMMYFUNCTION("""COMPUTED_VALUE"""),276)</f>
        <v>276</v>
      </c>
      <c r="G15" s="4">
        <f ca="1">IFERROR(__xludf.DUMMYFUNCTION("""COMPUTED_VALUE"""),166)</f>
        <v>166</v>
      </c>
      <c r="H15" s="4">
        <f ca="1">IFERROR(__xludf.DUMMYFUNCTION("""COMPUTED_VALUE"""),273.6)</f>
        <v>273.60000000000002</v>
      </c>
      <c r="I15" s="4">
        <f ca="1">IFERROR(__xludf.DUMMYFUNCTION("""COMPUTED_VALUE"""),11)</f>
        <v>11</v>
      </c>
      <c r="J15" s="4">
        <f ca="1">IFERROR(__xludf.DUMMYFUNCTION("""COMPUTED_VALUE"""),0.552682201589902)</f>
        <v>0.552682201589902</v>
      </c>
      <c r="K15" s="4">
        <f ca="1">IFERROR(__xludf.DUMMYFUNCTION("""COMPUTED_VALUE"""),256)</f>
        <v>256</v>
      </c>
      <c r="L15" s="4">
        <f ca="1">IFERROR(__xludf.DUMMYFUNCTION("""COMPUTED_VALUE"""),15)</f>
        <v>15</v>
      </c>
      <c r="M15" s="4">
        <f ca="1">IFERROR(__xludf.DUMMYFUNCTION("""COMPUTED_VALUE"""),0.552407024793388)</f>
        <v>0.55240702479338799</v>
      </c>
      <c r="N15" s="4">
        <f ca="1">IFERROR(__xludf.DUMMYFUNCTION("""COMPUTED_VALUE"""),14)</f>
        <v>14</v>
      </c>
      <c r="O15" s="4">
        <f ca="1">IFERROR(__xludf.DUMMYFUNCTION("""COMPUTED_VALUE"""),1.10508922638329)</f>
        <v>1.1050892263832901</v>
      </c>
      <c r="P15" s="4">
        <f ca="1">IFERROR(__xludf.DUMMYFUNCTION("""COMPUTED_VALUE"""),0.055574804321453)</f>
        <v>5.5574804321453002E-2</v>
      </c>
    </row>
    <row r="16" spans="1:16" ht="15.75" customHeight="1">
      <c r="A16" s="3" t="str">
        <f ca="1">IFERROR(__xludf.DUMMYFUNCTION("""COMPUTED_VALUE"""),"Malden Catholic High School - James Bond")</f>
        <v>Malden Catholic High School - James Bond</v>
      </c>
      <c r="B16" s="1" t="str">
        <f ca="1">IFERROR(__xludf.DUMMYFUNCTION("""COMPUTED_VALUE"""),"7")</f>
        <v>7</v>
      </c>
      <c r="C16" s="4">
        <f ca="1">IFERROR(__xludf.DUMMYFUNCTION("""COMPUTED_VALUE"""),299)</f>
        <v>299</v>
      </c>
      <c r="D16" s="4">
        <f ca="1">IFERROR(__xludf.DUMMYFUNCTION("""COMPUTED_VALUE"""),287)</f>
        <v>287</v>
      </c>
      <c r="E16" s="4">
        <f ca="1">IFERROR(__xludf.DUMMYFUNCTION("""COMPUTED_VALUE"""),65)</f>
        <v>65</v>
      </c>
      <c r="F16" s="4">
        <f ca="1">IFERROR(__xludf.DUMMYFUNCTION("""COMPUTED_VALUE"""),86)</f>
        <v>86</v>
      </c>
      <c r="G16" s="4">
        <f ca="1">IFERROR(__xludf.DUMMYFUNCTION("""COMPUTED_VALUE"""),55)</f>
        <v>55</v>
      </c>
      <c r="H16" s="4">
        <f ca="1">IFERROR(__xludf.DUMMYFUNCTION("""COMPUTED_VALUE"""),158.4)</f>
        <v>158.4</v>
      </c>
      <c r="I16" s="4">
        <f ca="1">IFERROR(__xludf.DUMMYFUNCTION("""COMPUTED_VALUE"""),17)</f>
        <v>17</v>
      </c>
      <c r="J16" s="4">
        <f ca="1">IFERROR(__xludf.DUMMYFUNCTION("""COMPUTED_VALUE"""),0.458862795072516)</f>
        <v>0.45886279507251598</v>
      </c>
      <c r="K16" s="4">
        <f ca="1">IFERROR(__xludf.DUMMYFUNCTION("""COMPUTED_VALUE"""),342.5)</f>
        <v>342.5</v>
      </c>
      <c r="L16" s="4">
        <f ca="1">IFERROR(__xludf.DUMMYFUNCTION("""COMPUTED_VALUE"""),13)</f>
        <v>13</v>
      </c>
      <c r="M16" s="4">
        <f ca="1">IFERROR(__xludf.DUMMYFUNCTION("""COMPUTED_VALUE"""),0.590805785123967)</f>
        <v>0.59080578512396698</v>
      </c>
      <c r="N16" s="4">
        <f ca="1">IFERROR(__xludf.DUMMYFUNCTION("""COMPUTED_VALUE"""),15)</f>
        <v>15</v>
      </c>
      <c r="O16" s="4">
        <f ca="1">IFERROR(__xludf.DUMMYFUNCTION("""COMPUTED_VALUE"""),1.04966858019648)</f>
        <v>1.04966858019648</v>
      </c>
      <c r="P16" s="4">
        <f ca="1">IFERROR(__xludf.DUMMYFUNCTION("""COMPUTED_VALUE"""),0.0554206461868072)</f>
        <v>5.5420646186807199E-2</v>
      </c>
    </row>
    <row r="17" spans="1:16" ht="15.75" customHeight="1">
      <c r="A17" s="3" t="str">
        <f ca="1">IFERROR(__xludf.DUMMYFUNCTION("""COMPUTED_VALUE"""),"Noble High School")</f>
        <v>Noble High School</v>
      </c>
      <c r="B17" s="1" t="str">
        <f ca="1">IFERROR(__xludf.DUMMYFUNCTION("""COMPUTED_VALUE"""),"720")</f>
        <v>720</v>
      </c>
      <c r="C17" s="4">
        <f ca="1">IFERROR(__xludf.DUMMYFUNCTION("""COMPUTED_VALUE"""),149)</f>
        <v>149</v>
      </c>
      <c r="D17" s="4">
        <f ca="1">IFERROR(__xludf.DUMMYFUNCTION("""COMPUTED_VALUE"""),334)</f>
        <v>334</v>
      </c>
      <c r="E17" s="4">
        <f ca="1">IFERROR(__xludf.DUMMYFUNCTION("""COMPUTED_VALUE"""),6)</f>
        <v>6</v>
      </c>
      <c r="F17" s="4">
        <f ca="1">IFERROR(__xludf.DUMMYFUNCTION("""COMPUTED_VALUE"""),59)</f>
        <v>59</v>
      </c>
      <c r="G17" s="4">
        <f ca="1">IFERROR(__xludf.DUMMYFUNCTION("""COMPUTED_VALUE"""),246)</f>
        <v>246</v>
      </c>
      <c r="H17" s="4">
        <f ca="1">IFERROR(__xludf.DUMMYFUNCTION("""COMPUTED_VALUE"""),158.8)</f>
        <v>158.80000000000001</v>
      </c>
      <c r="I17" s="4">
        <f ca="1">IFERROR(__xludf.DUMMYFUNCTION("""COMPUTED_VALUE"""),16)</f>
        <v>16</v>
      </c>
      <c r="J17" s="4">
        <f ca="1">IFERROR(__xludf.DUMMYFUNCTION("""COMPUTED_VALUE"""),0.472788093937738)</f>
        <v>0.47278809393773802</v>
      </c>
      <c r="K17" s="4">
        <f ca="1">IFERROR(__xludf.DUMMYFUNCTION("""COMPUTED_VALUE"""),232)</f>
        <v>232</v>
      </c>
      <c r="L17" s="4">
        <f ca="1">IFERROR(__xludf.DUMMYFUNCTION("""COMPUTED_VALUE"""),16)</f>
        <v>16</v>
      </c>
      <c r="M17" s="4">
        <f ca="1">IFERROR(__xludf.DUMMYFUNCTION("""COMPUTED_VALUE"""),0.534798553719008)</f>
        <v>0.53479855371900797</v>
      </c>
      <c r="N17" s="4">
        <f ca="1">IFERROR(__xludf.DUMMYFUNCTION("""COMPUTED_VALUE"""),16)</f>
        <v>16</v>
      </c>
      <c r="O17" s="4">
        <f ca="1">IFERROR(__xludf.DUMMYFUNCTION("""COMPUTED_VALUE"""),1.00758664765674)</f>
        <v>1.0075866476567401</v>
      </c>
      <c r="P17" s="4">
        <f ca="1">IFERROR(__xludf.DUMMYFUNCTION("""COMPUTED_VALUE"""),0.0420819325397363)</f>
        <v>4.20819325397363E-2</v>
      </c>
    </row>
    <row r="18" spans="1:16" ht="15.75" customHeight="1">
      <c r="A18" s="3" t="str">
        <f ca="1">IFERROR(__xludf.DUMMYFUNCTION("""COMPUTED_VALUE"""),"Dead Robot Society")</f>
        <v>Dead Robot Society</v>
      </c>
      <c r="B18" s="1" t="str">
        <f ca="1">IFERROR(__xludf.DUMMYFUNCTION("""COMPUTED_VALUE"""),"6")</f>
        <v>6</v>
      </c>
      <c r="C18" s="4">
        <f ca="1">IFERROR(__xludf.DUMMYFUNCTION("""COMPUTED_VALUE"""),348)</f>
        <v>348</v>
      </c>
      <c r="D18" s="4">
        <f ca="1">IFERROR(__xludf.DUMMYFUNCTION("""COMPUTED_VALUE"""),16)</f>
        <v>16</v>
      </c>
      <c r="E18" s="4">
        <f ca="1">IFERROR(__xludf.DUMMYFUNCTION("""COMPUTED_VALUE"""),320)</f>
        <v>320</v>
      </c>
      <c r="F18" s="4">
        <f ca="1">IFERROR(__xludf.DUMMYFUNCTION("""COMPUTED_VALUE"""),118)</f>
        <v>118</v>
      </c>
      <c r="G18" s="4">
        <f ca="1">IFERROR(__xludf.DUMMYFUNCTION("""COMPUTED_VALUE"""),369)</f>
        <v>369</v>
      </c>
      <c r="H18" s="4">
        <f ca="1">IFERROR(__xludf.DUMMYFUNCTION("""COMPUTED_VALUE"""),234.2)</f>
        <v>234.2</v>
      </c>
      <c r="I18" s="4">
        <f ca="1">IFERROR(__xludf.DUMMYFUNCTION("""COMPUTED_VALUE"""),13)</f>
        <v>13</v>
      </c>
      <c r="J18" s="4">
        <f ca="1">IFERROR(__xludf.DUMMYFUNCTION("""COMPUTED_VALUE"""),0.521318041143273)</f>
        <v>0.52131804114327296</v>
      </c>
      <c r="K18" s="4">
        <f ca="1">IFERROR(__xludf.DUMMYFUNCTION("""COMPUTED_VALUE"""),112.5)</f>
        <v>112.5</v>
      </c>
      <c r="L18" s="4">
        <f ca="1">IFERROR(__xludf.DUMMYFUNCTION("""COMPUTED_VALUE"""),24)</f>
        <v>24</v>
      </c>
      <c r="M18" s="4">
        <f ca="1">IFERROR(__xludf.DUMMYFUNCTION("""COMPUTED_VALUE"""),0.399922520661157)</f>
        <v>0.39992252066115702</v>
      </c>
      <c r="N18" s="4">
        <f ca="1">IFERROR(__xludf.DUMMYFUNCTION("""COMPUTED_VALUE"""),17)</f>
        <v>17</v>
      </c>
      <c r="O18" s="4">
        <f ca="1">IFERROR(__xludf.DUMMYFUNCTION("""COMPUTED_VALUE"""),0.92124056180443)</f>
        <v>0.92124056180443004</v>
      </c>
      <c r="P18" s="4">
        <f ca="1">IFERROR(__xludf.DUMMYFUNCTION("""COMPUTED_VALUE"""),0.0863460858523168)</f>
        <v>8.6346085852316803E-2</v>
      </c>
    </row>
    <row r="19" spans="1:16" ht="15.75" customHeight="1">
      <c r="A19" s="3" t="str">
        <f ca="1">IFERROR(__xludf.DUMMYFUNCTION("""COMPUTED_VALUE"""),"Beanstalk International Bilingual School-Unicorn")</f>
        <v>Beanstalk International Bilingual School-Unicorn</v>
      </c>
      <c r="B19" s="1" t="str">
        <f ca="1">IFERROR(__xludf.DUMMYFUNCTION("""COMPUTED_VALUE"""),"662")</f>
        <v>662</v>
      </c>
      <c r="C19" s="4">
        <f ca="1">IFERROR(__xludf.DUMMYFUNCTION("""COMPUTED_VALUE"""),92)</f>
        <v>92</v>
      </c>
      <c r="D19" s="4">
        <f ca="1">IFERROR(__xludf.DUMMYFUNCTION("""COMPUTED_VALUE"""),105)</f>
        <v>105</v>
      </c>
      <c r="E19" s="4">
        <f ca="1">IFERROR(__xludf.DUMMYFUNCTION("""COMPUTED_VALUE"""),0)</f>
        <v>0</v>
      </c>
      <c r="F19" s="4">
        <f ca="1">IFERROR(__xludf.DUMMYFUNCTION("""COMPUTED_VALUE"""),8)</f>
        <v>8</v>
      </c>
      <c r="G19" s="4">
        <f ca="1">IFERROR(__xludf.DUMMYFUNCTION("""COMPUTED_VALUE"""),92)</f>
        <v>92</v>
      </c>
      <c r="H19" s="4">
        <f ca="1">IFERROR(__xludf.DUMMYFUNCTION("""COMPUTED_VALUE"""),59.4)</f>
        <v>59.4</v>
      </c>
      <c r="I19" s="4">
        <f ca="1">IFERROR(__xludf.DUMMYFUNCTION("""COMPUTED_VALUE"""),31)</f>
        <v>31</v>
      </c>
      <c r="J19" s="4">
        <f ca="1">IFERROR(__xludf.DUMMYFUNCTION("""COMPUTED_VALUE"""),0.255406881485527)</f>
        <v>0.25540688148552698</v>
      </c>
      <c r="K19" s="4">
        <f ca="1">IFERROR(__xludf.DUMMYFUNCTION("""COMPUTED_VALUE"""),444.5)</f>
        <v>444.5</v>
      </c>
      <c r="L19" s="4">
        <f ca="1">IFERROR(__xludf.DUMMYFUNCTION("""COMPUTED_VALUE"""),10)</f>
        <v>10</v>
      </c>
      <c r="M19" s="4">
        <f ca="1">IFERROR(__xludf.DUMMYFUNCTION("""COMPUTED_VALUE"""),0.646110537190082)</f>
        <v>0.64611053719008205</v>
      </c>
      <c r="N19" s="4">
        <f ca="1">IFERROR(__xludf.DUMMYFUNCTION("""COMPUTED_VALUE"""),18)</f>
        <v>18</v>
      </c>
      <c r="O19" s="4">
        <f ca="1">IFERROR(__xludf.DUMMYFUNCTION("""COMPUTED_VALUE"""),0.901517418675609)</f>
        <v>0.90151741867560897</v>
      </c>
      <c r="P19" s="4">
        <f ca="1">IFERROR(__xludf.DUMMYFUNCTION("""COMPUTED_VALUE"""),0.0197231431288207)</f>
        <v>1.9723143128820699E-2</v>
      </c>
    </row>
    <row r="20" spans="1:16" ht="15.75" customHeight="1">
      <c r="A20" s="3" t="str">
        <f ca="1">IFERROR(__xludf.DUMMYFUNCTION("""COMPUTED_VALUE"""),"Noble Public Schools")</f>
        <v>Noble Public Schools</v>
      </c>
      <c r="B20" s="1" t="str">
        <f ca="1">IFERROR(__xludf.DUMMYFUNCTION("""COMPUTED_VALUE"""),"928")</f>
        <v>928</v>
      </c>
      <c r="C20" s="4">
        <f ca="1">IFERROR(__xludf.DUMMYFUNCTION("""COMPUTED_VALUE"""),318)</f>
        <v>318</v>
      </c>
      <c r="D20" s="4">
        <f ca="1">IFERROR(__xludf.DUMMYFUNCTION("""COMPUTED_VALUE"""),209)</f>
        <v>209</v>
      </c>
      <c r="E20" s="4">
        <f ca="1">IFERROR(__xludf.DUMMYFUNCTION("""COMPUTED_VALUE"""),43)</f>
        <v>43</v>
      </c>
      <c r="F20" s="4">
        <f ca="1">IFERROR(__xludf.DUMMYFUNCTION("""COMPUTED_VALUE"""),58)</f>
        <v>58</v>
      </c>
      <c r="G20" s="4">
        <f ca="1">IFERROR(__xludf.DUMMYFUNCTION("""COMPUTED_VALUE"""),110)</f>
        <v>110</v>
      </c>
      <c r="H20" s="4">
        <f ca="1">IFERROR(__xludf.DUMMYFUNCTION("""COMPUTED_VALUE"""),147.6)</f>
        <v>147.6</v>
      </c>
      <c r="I20" s="4">
        <f ca="1">IFERROR(__xludf.DUMMYFUNCTION("""COMPUTED_VALUE"""),19)</f>
        <v>19</v>
      </c>
      <c r="J20" s="4">
        <f ca="1">IFERROR(__xludf.DUMMYFUNCTION("""COMPUTED_VALUE"""),0.430101947933733)</f>
        <v>0.43010194793373302</v>
      </c>
      <c r="K20" s="4">
        <f ca="1">IFERROR(__xludf.DUMMYFUNCTION("""COMPUTED_VALUE"""),145)</f>
        <v>145</v>
      </c>
      <c r="L20" s="4">
        <f ca="1">IFERROR(__xludf.DUMMYFUNCTION("""COMPUTED_VALUE"""),20)</f>
        <v>20</v>
      </c>
      <c r="M20" s="4">
        <f ca="1">IFERROR(__xludf.DUMMYFUNCTION("""COMPUTED_VALUE"""),0.46510847107438)</f>
        <v>0.46510847107438003</v>
      </c>
      <c r="N20" s="4">
        <f ca="1">IFERROR(__xludf.DUMMYFUNCTION("""COMPUTED_VALUE"""),19)</f>
        <v>19</v>
      </c>
      <c r="O20" s="4">
        <f ca="1">IFERROR(__xludf.DUMMYFUNCTION("""COMPUTED_VALUE"""),0.895210419008114)</f>
        <v>0.89521041900811404</v>
      </c>
      <c r="P20" s="4">
        <f ca="1">IFERROR(__xludf.DUMMYFUNCTION("""COMPUTED_VALUE"""),0.00630699966749559)</f>
        <v>6.3069996674955898E-3</v>
      </c>
    </row>
    <row r="21" spans="1:16" ht="15.75" customHeight="1">
      <c r="A21" s="3" t="str">
        <f ca="1">IFERROR(__xludf.DUMMYFUNCTION("""COMPUTED_VALUE"""),"Tucumcari")</f>
        <v>Tucumcari</v>
      </c>
      <c r="B21" s="1" t="str">
        <f ca="1">IFERROR(__xludf.DUMMYFUNCTION("""COMPUTED_VALUE"""),"805")</f>
        <v>805</v>
      </c>
      <c r="C21" s="4">
        <f ca="1">IFERROR(__xludf.DUMMYFUNCTION("""COMPUTED_VALUE"""),138)</f>
        <v>138</v>
      </c>
      <c r="D21" s="4">
        <f ca="1">IFERROR(__xludf.DUMMYFUNCTION("""COMPUTED_VALUE"""),108)</f>
        <v>108</v>
      </c>
      <c r="E21" s="4">
        <f ca="1">IFERROR(__xludf.DUMMYFUNCTION("""COMPUTED_VALUE"""),155)</f>
        <v>155</v>
      </c>
      <c r="F21" s="4">
        <f ca="1">IFERROR(__xludf.DUMMYFUNCTION("""COMPUTED_VALUE"""),148)</f>
        <v>148</v>
      </c>
      <c r="G21" s="4">
        <f ca="1">IFERROR(__xludf.DUMMYFUNCTION("""COMPUTED_VALUE"""),211)</f>
        <v>211</v>
      </c>
      <c r="H21" s="4">
        <f ca="1">IFERROR(__xludf.DUMMYFUNCTION("""COMPUTED_VALUE"""),152)</f>
        <v>152</v>
      </c>
      <c r="I21" s="4">
        <f ca="1">IFERROR(__xludf.DUMMYFUNCTION("""COMPUTED_VALUE"""),18)</f>
        <v>18</v>
      </c>
      <c r="J21" s="4">
        <f ca="1">IFERROR(__xludf.DUMMYFUNCTION("""COMPUTED_VALUE"""),0.444391346562291)</f>
        <v>0.44439134656229101</v>
      </c>
      <c r="K21" s="4">
        <f ca="1">IFERROR(__xludf.DUMMYFUNCTION("""COMPUTED_VALUE"""),139.5)</f>
        <v>139.5</v>
      </c>
      <c r="L21" s="4">
        <f ca="1">IFERROR(__xludf.DUMMYFUNCTION("""COMPUTED_VALUE"""),21)</f>
        <v>21</v>
      </c>
      <c r="M21" s="4">
        <f ca="1">IFERROR(__xludf.DUMMYFUNCTION("""COMPUTED_VALUE"""),0.449028925619834)</f>
        <v>0.44902892561983399</v>
      </c>
      <c r="N21" s="4">
        <f ca="1">IFERROR(__xludf.DUMMYFUNCTION("""COMPUTED_VALUE"""),20)</f>
        <v>20</v>
      </c>
      <c r="O21" s="4">
        <f ca="1">IFERROR(__xludf.DUMMYFUNCTION("""COMPUTED_VALUE"""),0.893420272182126)</f>
        <v>0.89342027218212605</v>
      </c>
      <c r="P21" s="4">
        <f ca="1">IFERROR(__xludf.DUMMYFUNCTION("""COMPUTED_VALUE"""),0.00179014682598799)</f>
        <v>1.7901468259879901E-3</v>
      </c>
    </row>
    <row r="22" spans="1:16" ht="15.75" customHeight="1">
      <c r="A22" s="3" t="str">
        <f ca="1">IFERROR(__xludf.DUMMYFUNCTION("""COMPUTED_VALUE"""),"Jerome High School - Frog Fleet")</f>
        <v>Jerome High School - Frog Fleet</v>
      </c>
      <c r="B22" s="1" t="str">
        <f ca="1">IFERROR(__xludf.DUMMYFUNCTION("""COMPUTED_VALUE"""),"822")</f>
        <v>822</v>
      </c>
      <c r="C22" s="4">
        <f ca="1">IFERROR(__xludf.DUMMYFUNCTION("""COMPUTED_VALUE"""),16)</f>
        <v>16</v>
      </c>
      <c r="D22" s="4">
        <f ca="1">IFERROR(__xludf.DUMMYFUNCTION("""COMPUTED_VALUE"""),25)</f>
        <v>25</v>
      </c>
      <c r="E22" s="4">
        <f ca="1">IFERROR(__xludf.DUMMYFUNCTION("""COMPUTED_VALUE"""),60)</f>
        <v>60</v>
      </c>
      <c r="F22" s="4">
        <f ca="1">IFERROR(__xludf.DUMMYFUNCTION("""COMPUTED_VALUE"""),28)</f>
        <v>28</v>
      </c>
      <c r="G22" s="4">
        <f ca="1">IFERROR(__xludf.DUMMYFUNCTION("""COMPUTED_VALUE"""),233)</f>
        <v>233</v>
      </c>
      <c r="H22" s="4">
        <f ca="1">IFERROR(__xludf.DUMMYFUNCTION("""COMPUTED_VALUE"""),72.4)</f>
        <v>72.400000000000006</v>
      </c>
      <c r="I22" s="4">
        <f ca="1">IFERROR(__xludf.DUMMYFUNCTION("""COMPUTED_VALUE"""),25)</f>
        <v>25</v>
      </c>
      <c r="J22" s="4">
        <f ca="1">IFERROR(__xludf.DUMMYFUNCTION("""COMPUTED_VALUE"""),0.339923539049699)</f>
        <v>0.33992353904969902</v>
      </c>
      <c r="K22" s="4">
        <f ca="1">IFERROR(__xludf.DUMMYFUNCTION("""COMPUTED_VALUE"""),149.5)</f>
        <v>149.5</v>
      </c>
      <c r="L22" s="4">
        <f ca="1">IFERROR(__xludf.DUMMYFUNCTION("""COMPUTED_VALUE"""),19)</f>
        <v>19</v>
      </c>
      <c r="M22" s="4">
        <f ca="1">IFERROR(__xludf.DUMMYFUNCTION("""COMPUTED_VALUE"""),0.481105371900826)</f>
        <v>0.48110537190082597</v>
      </c>
      <c r="N22" s="4">
        <f ca="1">IFERROR(__xludf.DUMMYFUNCTION("""COMPUTED_VALUE"""),21)</f>
        <v>21</v>
      </c>
      <c r="O22" s="4">
        <f ca="1">IFERROR(__xludf.DUMMYFUNCTION("""COMPUTED_VALUE"""),0.821028910950526)</f>
        <v>0.82102891095052599</v>
      </c>
      <c r="P22" s="4">
        <f ca="1">IFERROR(__xludf.DUMMYFUNCTION("""COMPUTED_VALUE"""),0.0723913612316)</f>
        <v>7.2391361231600004E-2</v>
      </c>
    </row>
    <row r="23" spans="1:16" ht="15.75" customHeight="1">
      <c r="A23" s="3" t="str">
        <f ca="1">IFERROR(__xludf.DUMMYFUNCTION("""COMPUTED_VALUE"""),"Westchester Academy for International Studies")</f>
        <v>Westchester Academy for International Studies</v>
      </c>
      <c r="B23" s="1" t="str">
        <f ca="1">IFERROR(__xludf.DUMMYFUNCTION("""COMPUTED_VALUE"""),"151")</f>
        <v>151</v>
      </c>
      <c r="C23" s="4">
        <f ca="1">IFERROR(__xludf.DUMMYFUNCTION("""COMPUTED_VALUE"""),63)</f>
        <v>63</v>
      </c>
      <c r="D23" s="4">
        <f ca="1">IFERROR(__xludf.DUMMYFUNCTION("""COMPUTED_VALUE"""),267)</f>
        <v>267</v>
      </c>
      <c r="E23" s="4">
        <f ca="1">IFERROR(__xludf.DUMMYFUNCTION("""COMPUTED_VALUE"""),153)</f>
        <v>153</v>
      </c>
      <c r="F23" s="4">
        <f ca="1">IFERROR(__xludf.DUMMYFUNCTION("""COMPUTED_VALUE"""),124)</f>
        <v>124</v>
      </c>
      <c r="G23" s="4">
        <f ca="1">IFERROR(__xludf.DUMMYFUNCTION("""COMPUTED_VALUE"""),32)</f>
        <v>32</v>
      </c>
      <c r="H23" s="4">
        <f ca="1">IFERROR(__xludf.DUMMYFUNCTION("""COMPUTED_VALUE"""),127.8)</f>
        <v>127.8</v>
      </c>
      <c r="I23" s="4">
        <f ca="1">IFERROR(__xludf.DUMMYFUNCTION("""COMPUTED_VALUE"""),21)</f>
        <v>21</v>
      </c>
      <c r="J23" s="4">
        <f ca="1">IFERROR(__xludf.DUMMYFUNCTION("""COMPUTED_VALUE"""),0.400521876327447)</f>
        <v>0.40052187632744701</v>
      </c>
      <c r="K23" s="4">
        <f ca="1">IFERROR(__xludf.DUMMYFUNCTION("""COMPUTED_VALUE"""),97.5)</f>
        <v>97.5</v>
      </c>
      <c r="L23" s="4">
        <f ca="1">IFERROR(__xludf.DUMMYFUNCTION("""COMPUTED_VALUE"""),25)</f>
        <v>25</v>
      </c>
      <c r="M23" s="4">
        <f ca="1">IFERROR(__xludf.DUMMYFUNCTION("""COMPUTED_VALUE"""),0.383057851239669)</f>
        <v>0.38305785123966901</v>
      </c>
      <c r="N23" s="4">
        <f ca="1">IFERROR(__xludf.DUMMYFUNCTION("""COMPUTED_VALUE"""),22)</f>
        <v>22</v>
      </c>
      <c r="O23" s="4">
        <f ca="1">IFERROR(__xludf.DUMMYFUNCTION("""COMPUTED_VALUE"""),0.783579727567116)</f>
        <v>0.78357972756711602</v>
      </c>
      <c r="P23" s="4">
        <f ca="1">IFERROR(__xludf.DUMMYFUNCTION("""COMPUTED_VALUE"""),0.0374491833834096)</f>
        <v>3.74491833834096E-2</v>
      </c>
    </row>
    <row r="24" spans="1:16" ht="15.75" customHeight="1">
      <c r="A24" s="3" t="str">
        <f ca="1">IFERROR(__xludf.DUMMYFUNCTION("""COMPUTED_VALUE"""),"Radiant Robotics - Arcadia")</f>
        <v>Radiant Robotics - Arcadia</v>
      </c>
      <c r="B24" s="1" t="str">
        <f ca="1">IFERROR(__xludf.DUMMYFUNCTION("""COMPUTED_VALUE"""),"813")</f>
        <v>813</v>
      </c>
      <c r="C24" s="4">
        <f ca="1">IFERROR(__xludf.DUMMYFUNCTION("""COMPUTED_VALUE"""),7)</f>
        <v>7</v>
      </c>
      <c r="D24" s="4">
        <f ca="1">IFERROR(__xludf.DUMMYFUNCTION("""COMPUTED_VALUE"""),77)</f>
        <v>77</v>
      </c>
      <c r="E24" s="4">
        <f ca="1">IFERROR(__xludf.DUMMYFUNCTION("""COMPUTED_VALUE"""),148)</f>
        <v>148</v>
      </c>
      <c r="F24" s="4">
        <f ca="1">IFERROR(__xludf.DUMMYFUNCTION("""COMPUTED_VALUE"""),215)</f>
        <v>215</v>
      </c>
      <c r="G24" s="4">
        <f ca="1">IFERROR(__xludf.DUMMYFUNCTION("""COMPUTED_VALUE"""),200)</f>
        <v>200</v>
      </c>
      <c r="H24" s="4">
        <f ca="1">IFERROR(__xludf.DUMMYFUNCTION("""COMPUTED_VALUE"""),129.4)</f>
        <v>129.4</v>
      </c>
      <c r="I24" s="4">
        <f ca="1">IFERROR(__xludf.DUMMYFUNCTION("""COMPUTED_VALUE"""),20)</f>
        <v>20</v>
      </c>
      <c r="J24" s="4">
        <f ca="1">IFERROR(__xludf.DUMMYFUNCTION("""COMPUTED_VALUE"""),0.414556405121669)</f>
        <v>0.41455640512166902</v>
      </c>
      <c r="K24" s="4">
        <f ca="1">IFERROR(__xludf.DUMMYFUNCTION("""COMPUTED_VALUE"""),85.5)</f>
        <v>85.5</v>
      </c>
      <c r="L24" s="4">
        <f ca="1">IFERROR(__xludf.DUMMYFUNCTION("""COMPUTED_VALUE"""),27)</f>
        <v>27</v>
      </c>
      <c r="M24" s="4">
        <f ca="1">IFERROR(__xludf.DUMMYFUNCTION("""COMPUTED_VALUE"""),0.350816115702479)</f>
        <v>0.350816115702479</v>
      </c>
      <c r="N24" s="4">
        <f ca="1">IFERROR(__xludf.DUMMYFUNCTION("""COMPUTED_VALUE"""),23)</f>
        <v>23</v>
      </c>
      <c r="O24" s="4">
        <f ca="1">IFERROR(__xludf.DUMMYFUNCTION("""COMPUTED_VALUE"""),0.765372520824149)</f>
        <v>0.76537252082414897</v>
      </c>
      <c r="P24" s="4">
        <f ca="1">IFERROR(__xludf.DUMMYFUNCTION("""COMPUTED_VALUE"""),0.018207206742967)</f>
        <v>1.8207206742967001E-2</v>
      </c>
    </row>
    <row r="25" spans="1:16" ht="16.8">
      <c r="A25" s="3" t="str">
        <f ca="1">IFERROR(__xludf.DUMMYFUNCTION("""COMPUTED_VALUE"""),"1010 Post Explorer")</f>
        <v>1010 Post Explorer</v>
      </c>
      <c r="B25" s="1" t="str">
        <f ca="1">IFERROR(__xludf.DUMMYFUNCTION("""COMPUTED_VALUE"""),"160")</f>
        <v>160</v>
      </c>
      <c r="C25" s="4">
        <f ca="1">IFERROR(__xludf.DUMMYFUNCTION("""COMPUTED_VALUE"""),34)</f>
        <v>34</v>
      </c>
      <c r="D25" s="4">
        <f ca="1">IFERROR(__xludf.DUMMYFUNCTION("""COMPUTED_VALUE"""),23)</f>
        <v>23</v>
      </c>
      <c r="E25" s="4">
        <f ca="1">IFERROR(__xludf.DUMMYFUNCTION("""COMPUTED_VALUE"""),108)</f>
        <v>108</v>
      </c>
      <c r="F25" s="4">
        <f ca="1">IFERROR(__xludf.DUMMYFUNCTION("""COMPUTED_VALUE"""),77)</f>
        <v>77</v>
      </c>
      <c r="G25" s="4">
        <f ca="1">IFERROR(__xludf.DUMMYFUNCTION("""COMPUTED_VALUE"""),147)</f>
        <v>147</v>
      </c>
      <c r="H25" s="4">
        <f ca="1">IFERROR(__xludf.DUMMYFUNCTION("""COMPUTED_VALUE"""),77.8)</f>
        <v>77.8</v>
      </c>
      <c r="I25" s="4">
        <f ca="1">IFERROR(__xludf.DUMMYFUNCTION("""COMPUTED_VALUE"""),23)</f>
        <v>23</v>
      </c>
      <c r="J25" s="4">
        <f ca="1">IFERROR(__xludf.DUMMYFUNCTION("""COMPUTED_VALUE"""),0.368192851507979)</f>
        <v>0.36819285150797898</v>
      </c>
      <c r="K25" s="4">
        <f ca="1">IFERROR(__xludf.DUMMYFUNCTION("""COMPUTED_VALUE"""),94.5)</f>
        <v>94.5</v>
      </c>
      <c r="L25" s="4">
        <f ca="1">IFERROR(__xludf.DUMMYFUNCTION("""COMPUTED_VALUE"""),26)</f>
        <v>26</v>
      </c>
      <c r="M25" s="4">
        <f ca="1">IFERROR(__xludf.DUMMYFUNCTION("""COMPUTED_VALUE"""),0.367184917355371)</f>
        <v>0.36718491735537101</v>
      </c>
      <c r="N25" s="4">
        <f ca="1">IFERROR(__xludf.DUMMYFUNCTION("""COMPUTED_VALUE"""),24)</f>
        <v>24</v>
      </c>
      <c r="O25" s="4">
        <f ca="1">IFERROR(__xludf.DUMMYFUNCTION("""COMPUTED_VALUE"""),0.735377768863351)</f>
        <v>0.73537776886335104</v>
      </c>
      <c r="P25" s="4">
        <f ca="1">IFERROR(__xludf.DUMMYFUNCTION("""COMPUTED_VALUE"""),0.0299947519607974)</f>
        <v>2.99947519607974E-2</v>
      </c>
    </row>
    <row r="26" spans="1:16" ht="16.8">
      <c r="A26" s="3" t="str">
        <f ca="1">IFERROR(__xludf.DUMMYFUNCTION("""COMPUTED_VALUE"""),"Stratford")</f>
        <v>Stratford</v>
      </c>
      <c r="B26" s="1" t="str">
        <f ca="1">IFERROR(__xludf.DUMMYFUNCTION("""COMPUTED_VALUE"""),"828")</f>
        <v>828</v>
      </c>
      <c r="C26" s="4">
        <f ca="1">IFERROR(__xludf.DUMMYFUNCTION("""COMPUTED_VALUE"""),69)</f>
        <v>69</v>
      </c>
      <c r="D26" s="4">
        <f ca="1">IFERROR(__xludf.DUMMYFUNCTION("""COMPUTED_VALUE"""),46)</f>
        <v>46</v>
      </c>
      <c r="E26" s="4">
        <f ca="1">IFERROR(__xludf.DUMMYFUNCTION("""COMPUTED_VALUE"""),86)</f>
        <v>86</v>
      </c>
      <c r="F26" s="4">
        <f ca="1">IFERROR(__xludf.DUMMYFUNCTION("""COMPUTED_VALUE"""),48)</f>
        <v>48</v>
      </c>
      <c r="G26" s="4">
        <f ca="1">IFERROR(__xludf.DUMMYFUNCTION("""COMPUTED_VALUE"""),109)</f>
        <v>109</v>
      </c>
      <c r="H26" s="4">
        <f ca="1">IFERROR(__xludf.DUMMYFUNCTION("""COMPUTED_VALUE"""),71.6)</f>
        <v>71.599999999999994</v>
      </c>
      <c r="I26" s="4">
        <f ca="1">IFERROR(__xludf.DUMMYFUNCTION("""COMPUTED_VALUE"""),27)</f>
        <v>27</v>
      </c>
      <c r="J26" s="4">
        <f ca="1">IFERROR(__xludf.DUMMYFUNCTION("""COMPUTED_VALUE"""),0.312072941319254)</f>
        <v>0.312072941319254</v>
      </c>
      <c r="K26" s="4">
        <f ca="1">IFERROR(__xludf.DUMMYFUNCTION("""COMPUTED_VALUE"""),121.5)</f>
        <v>121.5</v>
      </c>
      <c r="L26" s="4">
        <f ca="1">IFERROR(__xludf.DUMMYFUNCTION("""COMPUTED_VALUE"""),23)</f>
        <v>23</v>
      </c>
      <c r="M26" s="4">
        <f ca="1">IFERROR(__xludf.DUMMYFUNCTION("""COMPUTED_VALUE"""),0.416291322314049)</f>
        <v>0.41629132231404897</v>
      </c>
      <c r="N26" s="4">
        <f ca="1">IFERROR(__xludf.DUMMYFUNCTION("""COMPUTED_VALUE"""),25)</f>
        <v>25</v>
      </c>
      <c r="O26" s="4">
        <f ca="1">IFERROR(__xludf.DUMMYFUNCTION("""COMPUTED_VALUE"""),0.728364263633304)</f>
        <v>0.72836426363330398</v>
      </c>
      <c r="P26" s="4">
        <f ca="1">IFERROR(__xludf.DUMMYFUNCTION("""COMPUTED_VALUE"""),0.00701350523004751)</f>
        <v>7.0135052300475103E-3</v>
      </c>
    </row>
    <row r="27" spans="1:16" ht="16.8">
      <c r="A27" s="3" t="str">
        <f ca="1">IFERROR(__xludf.DUMMYFUNCTION("""COMPUTED_VALUE"""),"Galileo STEM Academy")</f>
        <v>Galileo STEM Academy</v>
      </c>
      <c r="B27" s="1" t="str">
        <f ca="1">IFERROR(__xludf.DUMMYFUNCTION("""COMPUTED_VALUE"""),"700")</f>
        <v>700</v>
      </c>
      <c r="C27" s="4">
        <f ca="1">IFERROR(__xludf.DUMMYFUNCTION("""COMPUTED_VALUE"""),47)</f>
        <v>47</v>
      </c>
      <c r="D27" s="4">
        <f ca="1">IFERROR(__xludf.DUMMYFUNCTION("""COMPUTED_VALUE"""),31)</f>
        <v>31</v>
      </c>
      <c r="E27" s="4">
        <f ca="1">IFERROR(__xludf.DUMMYFUNCTION("""COMPUTED_VALUE"""),116)</f>
        <v>116</v>
      </c>
      <c r="F27" s="4">
        <f ca="1">IFERROR(__xludf.DUMMYFUNCTION("""COMPUTED_VALUE"""),57)</f>
        <v>57</v>
      </c>
      <c r="G27" s="4">
        <f ca="1">IFERROR(__xludf.DUMMYFUNCTION("""COMPUTED_VALUE"""),53)</f>
        <v>53</v>
      </c>
      <c r="H27" s="4">
        <f ca="1">IFERROR(__xludf.DUMMYFUNCTION("""COMPUTED_VALUE"""),60.8)</f>
        <v>60.8</v>
      </c>
      <c r="I27" s="4">
        <f ca="1">IFERROR(__xludf.DUMMYFUNCTION("""COMPUTED_VALUE"""),29)</f>
        <v>29</v>
      </c>
      <c r="J27" s="4">
        <f ca="1">IFERROR(__xludf.DUMMYFUNCTION("""COMPUTED_VALUE"""),0.283312094180472)</f>
        <v>0.28331209418047199</v>
      </c>
      <c r="K27" s="4">
        <f ca="1">IFERROR(__xludf.DUMMYFUNCTION("""COMPUTED_VALUE"""),134.5)</f>
        <v>134.5</v>
      </c>
      <c r="L27" s="4">
        <f ca="1">IFERROR(__xludf.DUMMYFUNCTION("""COMPUTED_VALUE"""),22)</f>
        <v>22</v>
      </c>
      <c r="M27" s="4">
        <f ca="1">IFERROR(__xludf.DUMMYFUNCTION("""COMPUTED_VALUE"""),0.432990702479338)</f>
        <v>0.43299070247933802</v>
      </c>
      <c r="N27" s="4">
        <f ca="1">IFERROR(__xludf.DUMMYFUNCTION("""COMPUTED_VALUE"""),26)</f>
        <v>26</v>
      </c>
      <c r="O27" s="4">
        <f ca="1">IFERROR(__xludf.DUMMYFUNCTION("""COMPUTED_VALUE"""),0.716302796659811)</f>
        <v>0.716302796659811</v>
      </c>
      <c r="P27" s="4">
        <f ca="1">IFERROR(__xludf.DUMMYFUNCTION("""COMPUTED_VALUE"""),0.0120614669734933)</f>
        <v>1.20614669734933E-2</v>
      </c>
    </row>
    <row r="28" spans="1:16" ht="16.8">
      <c r="A28" s="3" t="str">
        <f ca="1">IFERROR(__xludf.DUMMYFUNCTION("""COMPUTED_VALUE"""),"Rhoades")</f>
        <v>Rhoades</v>
      </c>
      <c r="B28" s="1" t="str">
        <f ca="1">IFERROR(__xludf.DUMMYFUNCTION("""COMPUTED_VALUE"""),"340")</f>
        <v>340</v>
      </c>
      <c r="C28" s="4">
        <f ca="1">IFERROR(__xludf.DUMMYFUNCTION("""COMPUTED_VALUE"""),161)</f>
        <v>161</v>
      </c>
      <c r="D28" s="4">
        <f ca="1">IFERROR(__xludf.DUMMYFUNCTION("""COMPUTED_VALUE"""),9)</f>
        <v>9</v>
      </c>
      <c r="E28" s="4">
        <f ca="1">IFERROR(__xludf.DUMMYFUNCTION("""COMPUTED_VALUE"""),7)</f>
        <v>7</v>
      </c>
      <c r="F28" s="4">
        <f ca="1">IFERROR(__xludf.DUMMYFUNCTION("""COMPUTED_VALUE"""),5)</f>
        <v>5</v>
      </c>
      <c r="G28" s="4">
        <f ca="1">IFERROR(__xludf.DUMMYFUNCTION("""COMPUTED_VALUE"""),9)</f>
        <v>9</v>
      </c>
      <c r="H28" s="4">
        <f ca="1">IFERROR(__xludf.DUMMYFUNCTION("""COMPUTED_VALUE"""),38.2)</f>
        <v>38.200000000000003</v>
      </c>
      <c r="I28" s="4">
        <f ca="1">IFERROR(__xludf.DUMMYFUNCTION("""COMPUTED_VALUE"""),37)</f>
        <v>37</v>
      </c>
      <c r="J28" s="4">
        <f ca="1">IFERROR(__xludf.DUMMYFUNCTION("""COMPUTED_VALUE"""),0.170143819406517)</f>
        <v>0.17014381940651699</v>
      </c>
      <c r="K28" s="4">
        <f ca="1">IFERROR(__xludf.DUMMYFUNCTION("""COMPUTED_VALUE"""),188.5)</f>
        <v>188.5</v>
      </c>
      <c r="L28" s="4">
        <f ca="1">IFERROR(__xludf.DUMMYFUNCTION("""COMPUTED_VALUE"""),18)</f>
        <v>18</v>
      </c>
      <c r="M28" s="4">
        <f ca="1">IFERROR(__xludf.DUMMYFUNCTION("""COMPUTED_VALUE"""),0.499953512396694)</f>
        <v>0.499953512396694</v>
      </c>
      <c r="N28" s="4">
        <f ca="1">IFERROR(__xludf.DUMMYFUNCTION("""COMPUTED_VALUE"""),27)</f>
        <v>27</v>
      </c>
      <c r="O28" s="4">
        <f ca="1">IFERROR(__xludf.DUMMYFUNCTION("""COMPUTED_VALUE"""),0.670097331803211)</f>
        <v>0.67009733180321096</v>
      </c>
      <c r="P28" s="4">
        <f ca="1">IFERROR(__xludf.DUMMYFUNCTION("""COMPUTED_VALUE"""),0.0462054648565993)</f>
        <v>4.62054648565993E-2</v>
      </c>
    </row>
    <row r="29" spans="1:16" ht="16.8">
      <c r="A29" s="3" t="str">
        <f ca="1">IFERROR(__xludf.DUMMYFUNCTION("""COMPUTED_VALUE"""),"Jerome High School - Golden Girls")</f>
        <v>Jerome High School - Golden Girls</v>
      </c>
      <c r="B29" s="1" t="str">
        <f ca="1">IFERROR(__xludf.DUMMYFUNCTION("""COMPUTED_VALUE"""),"821")</f>
        <v>821</v>
      </c>
      <c r="C29" s="4">
        <f ca="1">IFERROR(__xludf.DUMMYFUNCTION("""COMPUTED_VALUE"""),28)</f>
        <v>28</v>
      </c>
      <c r="D29" s="4">
        <f ca="1">IFERROR(__xludf.DUMMYFUNCTION("""COMPUTED_VALUE"""),139)</f>
        <v>139</v>
      </c>
      <c r="E29" s="4">
        <f ca="1">IFERROR(__xludf.DUMMYFUNCTION("""COMPUTED_VALUE"""),137)</f>
        <v>137</v>
      </c>
      <c r="F29" s="4">
        <f ca="1">IFERROR(__xludf.DUMMYFUNCTION("""COMPUTED_VALUE"""),30)</f>
        <v>30</v>
      </c>
      <c r="G29" s="4">
        <f ca="1">IFERROR(__xludf.DUMMYFUNCTION("""COMPUTED_VALUE"""),127)</f>
        <v>127</v>
      </c>
      <c r="H29" s="4">
        <f ca="1">IFERROR(__xludf.DUMMYFUNCTION("""COMPUTED_VALUE"""),92.2)</f>
        <v>92.2</v>
      </c>
      <c r="I29" s="4">
        <f ca="1">IFERROR(__xludf.DUMMYFUNCTION("""COMPUTED_VALUE"""),22)</f>
        <v>22</v>
      </c>
      <c r="J29" s="4">
        <f ca="1">IFERROR(__xludf.DUMMYFUNCTION("""COMPUTED_VALUE"""),0.383392499544875)</f>
        <v>0.38339249954487498</v>
      </c>
      <c r="K29" s="4">
        <f ca="1">IFERROR(__xludf.DUMMYFUNCTION("""COMPUTED_VALUE"""),65)</f>
        <v>65</v>
      </c>
      <c r="L29" s="4">
        <f ca="1">IFERROR(__xludf.DUMMYFUNCTION("""COMPUTED_VALUE"""),33)</f>
        <v>33</v>
      </c>
      <c r="M29" s="4">
        <f ca="1">IFERROR(__xludf.DUMMYFUNCTION("""COMPUTED_VALUE"""),0.255371900826446)</f>
        <v>0.25537190082644601</v>
      </c>
      <c r="N29" s="4">
        <f ca="1">IFERROR(__xludf.DUMMYFUNCTION("""COMPUTED_VALUE"""),28)</f>
        <v>28</v>
      </c>
      <c r="O29" s="4">
        <f ca="1">IFERROR(__xludf.DUMMYFUNCTION("""COMPUTED_VALUE"""),0.638764400371321)</f>
        <v>0.63876440037132098</v>
      </c>
      <c r="P29" s="4">
        <f ca="1">IFERROR(__xludf.DUMMYFUNCTION("""COMPUTED_VALUE"""),0.03133293143189)</f>
        <v>3.1332931431889997E-2</v>
      </c>
    </row>
    <row r="30" spans="1:16" ht="16.8">
      <c r="A30" s="3" t="str">
        <f ca="1">IFERROR(__xludf.DUMMYFUNCTION("""COMPUTED_VALUE"""),"La Quinta Middle School")</f>
        <v>La Quinta Middle School</v>
      </c>
      <c r="B30" s="1" t="str">
        <f ca="1">IFERROR(__xludf.DUMMYFUNCTION("""COMPUTED_VALUE"""),"843")</f>
        <v>843</v>
      </c>
      <c r="C30" s="4">
        <f ca="1">IFERROR(__xludf.DUMMYFUNCTION("""COMPUTED_VALUE"""),62)</f>
        <v>62</v>
      </c>
      <c r="D30" s="4">
        <f ca="1">IFERROR(__xludf.DUMMYFUNCTION("""COMPUTED_VALUE"""),148)</f>
        <v>148</v>
      </c>
      <c r="E30" s="4">
        <f ca="1">IFERROR(__xludf.DUMMYFUNCTION("""COMPUTED_VALUE"""),57)</f>
        <v>57</v>
      </c>
      <c r="F30" s="4">
        <f ca="1">IFERROR(__xludf.DUMMYFUNCTION("""COMPUTED_VALUE"""),38)</f>
        <v>38</v>
      </c>
      <c r="G30" s="4">
        <f ca="1">IFERROR(__xludf.DUMMYFUNCTION("""COMPUTED_VALUE"""),66)</f>
        <v>66</v>
      </c>
      <c r="H30" s="4">
        <f ca="1">IFERROR(__xludf.DUMMYFUNCTION("""COMPUTED_VALUE"""),74.2)</f>
        <v>74.2</v>
      </c>
      <c r="I30" s="4">
        <f ca="1">IFERROR(__xludf.DUMMYFUNCTION("""COMPUTED_VALUE"""),24)</f>
        <v>24</v>
      </c>
      <c r="J30" s="4">
        <f ca="1">IFERROR(__xludf.DUMMYFUNCTION("""COMPUTED_VALUE"""),0.353976272832089)</f>
        <v>0.35397627283208899</v>
      </c>
      <c r="K30" s="4">
        <f ca="1">IFERROR(__xludf.DUMMYFUNCTION("""COMPUTED_VALUE"""),67.5)</f>
        <v>67.5</v>
      </c>
      <c r="L30" s="4">
        <f ca="1">IFERROR(__xludf.DUMMYFUNCTION("""COMPUTED_VALUE"""),32)</f>
        <v>32</v>
      </c>
      <c r="M30" s="4">
        <f ca="1">IFERROR(__xludf.DUMMYFUNCTION("""COMPUTED_VALUE"""),0.271203512396694)</f>
        <v>0.27120351239669399</v>
      </c>
      <c r="N30" s="4">
        <f ca="1">IFERROR(__xludf.DUMMYFUNCTION("""COMPUTED_VALUE"""),29)</f>
        <v>29</v>
      </c>
      <c r="O30" s="4">
        <f ca="1">IFERROR(__xludf.DUMMYFUNCTION("""COMPUTED_VALUE"""),0.625179785228783)</f>
        <v>0.62517978522878304</v>
      </c>
      <c r="P30" s="4">
        <f ca="1">IFERROR(__xludf.DUMMYFUNCTION("""COMPUTED_VALUE"""),0.013584615142538)</f>
        <v>1.3584615142538E-2</v>
      </c>
    </row>
    <row r="31" spans="1:16" ht="16.8">
      <c r="A31" s="3" t="str">
        <f ca="1">IFERROR(__xludf.DUMMYFUNCTION("""COMPUTED_VALUE"""),"La Quinta High School")</f>
        <v>La Quinta High School</v>
      </c>
      <c r="B31" s="1" t="str">
        <f ca="1">IFERROR(__xludf.DUMMYFUNCTION("""COMPUTED_VALUE"""),"844")</f>
        <v>844</v>
      </c>
      <c r="C31" s="4">
        <f ca="1">IFERROR(__xludf.DUMMYFUNCTION("""COMPUTED_VALUE"""),35)</f>
        <v>35</v>
      </c>
      <c r="D31" s="4">
        <f ca="1">IFERROR(__xludf.DUMMYFUNCTION("""COMPUTED_VALUE"""),73)</f>
        <v>73</v>
      </c>
      <c r="E31" s="4">
        <f ca="1">IFERROR(__xludf.DUMMYFUNCTION("""COMPUTED_VALUE"""),64)</f>
        <v>64</v>
      </c>
      <c r="F31" s="4">
        <f ca="1">IFERROR(__xludf.DUMMYFUNCTION("""COMPUTED_VALUE"""),110)</f>
        <v>110</v>
      </c>
      <c r="G31" s="4">
        <f ca="1">IFERROR(__xludf.DUMMYFUNCTION("""COMPUTED_VALUE"""),17)</f>
        <v>17</v>
      </c>
      <c r="H31" s="4">
        <f ca="1">IFERROR(__xludf.DUMMYFUNCTION("""COMPUTED_VALUE"""),59.8)</f>
        <v>59.8</v>
      </c>
      <c r="I31" s="4">
        <f ca="1">IFERROR(__xludf.DUMMYFUNCTION("""COMPUTED_VALUE"""),30)</f>
        <v>30</v>
      </c>
      <c r="J31" s="4">
        <f ca="1">IFERROR(__xludf.DUMMYFUNCTION("""COMPUTED_VALUE"""),0.269332180350749)</f>
        <v>0.26933218035074902</v>
      </c>
      <c r="K31" s="4">
        <f ca="1">IFERROR(__xludf.DUMMYFUNCTION("""COMPUTED_VALUE"""),69.5)</f>
        <v>69.5</v>
      </c>
      <c r="L31" s="4">
        <f ca="1">IFERROR(__xludf.DUMMYFUNCTION("""COMPUTED_VALUE"""),31)</f>
        <v>31</v>
      </c>
      <c r="M31" s="4">
        <f ca="1">IFERROR(__xludf.DUMMYFUNCTION("""COMPUTED_VALUE"""),0.286993801652892)</f>
        <v>0.28699380165289201</v>
      </c>
      <c r="N31" s="4">
        <f ca="1">IFERROR(__xludf.DUMMYFUNCTION("""COMPUTED_VALUE"""),30)</f>
        <v>30</v>
      </c>
      <c r="O31" s="4">
        <f ca="1">IFERROR(__xludf.DUMMYFUNCTION("""COMPUTED_VALUE"""),0.556325982003642)</f>
        <v>0.55632598200364203</v>
      </c>
      <c r="P31" s="4">
        <f ca="1">IFERROR(__xludf.DUMMYFUNCTION("""COMPUTED_VALUE"""),0.0688538032251414)</f>
        <v>6.8853803225141397E-2</v>
      </c>
    </row>
    <row r="32" spans="1:16" ht="16.8">
      <c r="A32" s="3" t="str">
        <f ca="1">IFERROR(__xludf.DUMMYFUNCTION("""COMPUTED_VALUE"""),"Great Mills High School")</f>
        <v>Great Mills High School</v>
      </c>
      <c r="B32" s="1" t="str">
        <f ca="1">IFERROR(__xludf.DUMMYFUNCTION("""COMPUTED_VALUE"""),"877")</f>
        <v>877</v>
      </c>
      <c r="C32" s="4">
        <f ca="1">IFERROR(__xludf.DUMMYFUNCTION("""COMPUTED_VALUE"""),10)</f>
        <v>10</v>
      </c>
      <c r="D32" s="4">
        <f ca="1">IFERROR(__xludf.DUMMYFUNCTION("""COMPUTED_VALUE"""),163)</f>
        <v>163</v>
      </c>
      <c r="E32" s="4">
        <f ca="1">IFERROR(__xludf.DUMMYFUNCTION("""COMPUTED_VALUE"""),24)</f>
        <v>24</v>
      </c>
      <c r="F32" s="4">
        <f ca="1">IFERROR(__xludf.DUMMYFUNCTION("""COMPUTED_VALUE"""),22)</f>
        <v>22</v>
      </c>
      <c r="G32" s="4">
        <f ca="1">IFERROR(__xludf.DUMMYFUNCTION("""COMPUTED_VALUE"""),35)</f>
        <v>35</v>
      </c>
      <c r="H32" s="4">
        <f ca="1">IFERROR(__xludf.DUMMYFUNCTION("""COMPUTED_VALUE"""),50.8)</f>
        <v>50.8</v>
      </c>
      <c r="I32" s="4">
        <f ca="1">IFERROR(__xludf.DUMMYFUNCTION("""COMPUTED_VALUE"""),34)</f>
        <v>34</v>
      </c>
      <c r="J32" s="4">
        <f ca="1">IFERROR(__xludf.DUMMYFUNCTION("""COMPUTED_VALUE"""),0.212957400327689)</f>
        <v>0.21295740032768901</v>
      </c>
      <c r="K32" s="4">
        <f ca="1">IFERROR(__xludf.DUMMYFUNCTION("""COMPUTED_VALUE"""),73.5)</f>
        <v>73.5</v>
      </c>
      <c r="L32" s="4">
        <f ca="1">IFERROR(__xludf.DUMMYFUNCTION("""COMPUTED_VALUE"""),30)</f>
        <v>30</v>
      </c>
      <c r="M32" s="4">
        <f ca="1">IFERROR(__xludf.DUMMYFUNCTION("""COMPUTED_VALUE"""),0.302949380165289)</f>
        <v>0.302949380165289</v>
      </c>
      <c r="N32" s="4">
        <f ca="1">IFERROR(__xludf.DUMMYFUNCTION("""COMPUTED_VALUE"""),31)</f>
        <v>31</v>
      </c>
      <c r="O32" s="4">
        <f ca="1">IFERROR(__xludf.DUMMYFUNCTION("""COMPUTED_VALUE"""),0.515906780492979)</f>
        <v>0.515906780492979</v>
      </c>
      <c r="P32" s="4">
        <f ca="1">IFERROR(__xludf.DUMMYFUNCTION("""COMPUTED_VALUE"""),0.0404192015106629)</f>
        <v>4.0419201510662903E-2</v>
      </c>
    </row>
    <row r="33" spans="1:16" ht="16.8">
      <c r="A33" s="3" t="str">
        <f ca="1">IFERROR(__xludf.DUMMYFUNCTION("""COMPUTED_VALUE"""),"Galileo STEM Academy")</f>
        <v>Galileo STEM Academy</v>
      </c>
      <c r="B33" s="1" t="str">
        <f ca="1">IFERROR(__xludf.DUMMYFUNCTION("""COMPUTED_VALUE"""),"752")</f>
        <v>752</v>
      </c>
      <c r="C33" s="4">
        <f ca="1">IFERROR(__xludf.DUMMYFUNCTION("""COMPUTED_VALUE"""),31)</f>
        <v>31</v>
      </c>
      <c r="D33" s="4">
        <f ca="1">IFERROR(__xludf.DUMMYFUNCTION("""COMPUTED_VALUE"""),54)</f>
        <v>54</v>
      </c>
      <c r="E33" s="4">
        <f ca="1">IFERROR(__xludf.DUMMYFUNCTION("""COMPUTED_VALUE"""),159)</f>
        <v>159</v>
      </c>
      <c r="F33" s="4">
        <f ca="1">IFERROR(__xludf.DUMMYFUNCTION("""COMPUTED_VALUE"""),64)</f>
        <v>64</v>
      </c>
      <c r="G33" s="4">
        <f ca="1">IFERROR(__xludf.DUMMYFUNCTION("""COMPUTED_VALUE"""),9)</f>
        <v>9</v>
      </c>
      <c r="H33" s="4">
        <f ca="1">IFERROR(__xludf.DUMMYFUNCTION("""COMPUTED_VALUE"""),63.4)</f>
        <v>63.4</v>
      </c>
      <c r="I33" s="4">
        <f ca="1">IFERROR(__xludf.DUMMYFUNCTION("""COMPUTED_VALUE"""),28)</f>
        <v>28</v>
      </c>
      <c r="J33" s="4">
        <f ca="1">IFERROR(__xludf.DUMMYFUNCTION("""COMPUTED_VALUE"""),0.297437647915528)</f>
        <v>0.29743764791552801</v>
      </c>
      <c r="K33" s="4">
        <f ca="1">IFERROR(__xludf.DUMMYFUNCTION("""COMPUTED_VALUE"""),47.5)</f>
        <v>47.5</v>
      </c>
      <c r="L33" s="4">
        <f ca="1">IFERROR(__xludf.DUMMYFUNCTION("""COMPUTED_VALUE"""),38)</f>
        <v>38</v>
      </c>
      <c r="M33" s="4">
        <f ca="1">IFERROR(__xludf.DUMMYFUNCTION("""COMPUTED_VALUE"""),0.17580061983471)</f>
        <v>0.17580061983470999</v>
      </c>
      <c r="N33" s="4">
        <f ca="1">IFERROR(__xludf.DUMMYFUNCTION("""COMPUTED_VALUE"""),32)</f>
        <v>32</v>
      </c>
      <c r="O33" s="4">
        <f ca="1">IFERROR(__xludf.DUMMYFUNCTION("""COMPUTED_VALUE"""),0.473238267750239)</f>
        <v>0.47323826775023897</v>
      </c>
      <c r="P33" s="4">
        <f ca="1">IFERROR(__xludf.DUMMYFUNCTION("""COMPUTED_VALUE"""),0.0426685127427395)</f>
        <v>4.2668512742739501E-2</v>
      </c>
    </row>
    <row r="34" spans="1:16" ht="16.8">
      <c r="A34" s="3" t="str">
        <f ca="1">IFERROR(__xludf.DUMMYFUNCTION("""COMPUTED_VALUE"""),"Norman Advanced Robotics")</f>
        <v>Norman Advanced Robotics</v>
      </c>
      <c r="B34" s="1" t="str">
        <f ca="1">IFERROR(__xludf.DUMMYFUNCTION("""COMPUTED_VALUE"""),"113")</f>
        <v>113</v>
      </c>
      <c r="C34" s="4">
        <f ca="1">IFERROR(__xludf.DUMMYFUNCTION("""COMPUTED_VALUE"""),53)</f>
        <v>53</v>
      </c>
      <c r="D34" s="4">
        <f ca="1">IFERROR(__xludf.DUMMYFUNCTION("""COMPUTED_VALUE"""),12)</f>
        <v>12</v>
      </c>
      <c r="E34" s="4">
        <f ca="1">IFERROR(__xludf.DUMMYFUNCTION("""COMPUTED_VALUE"""),51)</f>
        <v>51</v>
      </c>
      <c r="F34" s="4">
        <f ca="1">IFERROR(__xludf.DUMMYFUNCTION("""COMPUTED_VALUE"""),26)</f>
        <v>26</v>
      </c>
      <c r="G34" s="4">
        <f ca="1">IFERROR(__xludf.DUMMYFUNCTION("""COMPUTED_VALUE"""),218)</f>
        <v>218</v>
      </c>
      <c r="H34" s="4">
        <f ca="1">IFERROR(__xludf.DUMMYFUNCTION("""COMPUTED_VALUE"""),72)</f>
        <v>72</v>
      </c>
      <c r="I34" s="4">
        <f ca="1">IFERROR(__xludf.DUMMYFUNCTION("""COMPUTED_VALUE"""),26)</f>
        <v>26</v>
      </c>
      <c r="J34" s="4">
        <f ca="1">IFERROR(__xludf.DUMMYFUNCTION("""COMPUTED_VALUE"""),0.325998240184477)</f>
        <v>0.32599824018447698</v>
      </c>
      <c r="K34" s="4">
        <f ca="1">IFERROR(__xludf.DUMMYFUNCTION("""COMPUTED_VALUE"""),42.5)</f>
        <v>42.5</v>
      </c>
      <c r="L34" s="4">
        <f ca="1">IFERROR(__xludf.DUMMYFUNCTION("""COMPUTED_VALUE"""),40)</f>
        <v>40</v>
      </c>
      <c r="M34" s="4">
        <f ca="1">IFERROR(__xludf.DUMMYFUNCTION("""COMPUTED_VALUE"""),0.144137396694214)</f>
        <v>0.14413739669421399</v>
      </c>
      <c r="N34" s="4">
        <f ca="1">IFERROR(__xludf.DUMMYFUNCTION("""COMPUTED_VALUE"""),33)</f>
        <v>33</v>
      </c>
      <c r="O34" s="4">
        <f ca="1">IFERROR(__xludf.DUMMYFUNCTION("""COMPUTED_VALUE"""),0.470135636878692)</f>
        <v>0.47013563687869198</v>
      </c>
      <c r="P34" s="4">
        <f ca="1">IFERROR(__xludf.DUMMYFUNCTION("""COMPUTED_VALUE"""),0.00310263087154749)</f>
        <v>3.1026308715474899E-3</v>
      </c>
    </row>
    <row r="35" spans="1:16" ht="16.8">
      <c r="A35" s="3" t="str">
        <f ca="1">IFERROR(__xludf.DUMMYFUNCTION("""COMPUTED_VALUE"""),"Jerome Middle School - Cosmic Rangers")</f>
        <v>Jerome Middle School - Cosmic Rangers</v>
      </c>
      <c r="B35" s="1" t="str">
        <f ca="1">IFERROR(__xludf.DUMMYFUNCTION("""COMPUTED_VALUE"""),"735")</f>
        <v>735</v>
      </c>
      <c r="C35" s="4">
        <f ca="1">IFERROR(__xludf.DUMMYFUNCTION("""COMPUTED_VALUE"""),21)</f>
        <v>21</v>
      </c>
      <c r="D35" s="4">
        <f ca="1">IFERROR(__xludf.DUMMYFUNCTION("""COMPUTED_VALUE"""),13)</f>
        <v>13</v>
      </c>
      <c r="E35" s="4">
        <f ca="1">IFERROR(__xludf.DUMMYFUNCTION("""COMPUTED_VALUE"""),33)</f>
        <v>33</v>
      </c>
      <c r="F35" s="4">
        <f ca="1">IFERROR(__xludf.DUMMYFUNCTION("""COMPUTED_VALUE"""),15)</f>
        <v>15</v>
      </c>
      <c r="G35" s="4">
        <f ca="1">IFERROR(__xludf.DUMMYFUNCTION("""COMPUTED_VALUE"""),164)</f>
        <v>164</v>
      </c>
      <c r="H35" s="4">
        <f ca="1">IFERROR(__xludf.DUMMYFUNCTION("""COMPUTED_VALUE"""),49.2)</f>
        <v>49.2</v>
      </c>
      <c r="I35" s="4">
        <f ca="1">IFERROR(__xludf.DUMMYFUNCTION("""COMPUTED_VALUE"""),35)</f>
        <v>35</v>
      </c>
      <c r="J35" s="4">
        <f ca="1">IFERROR(__xludf.DUMMYFUNCTION("""COMPUTED_VALUE"""),0.198922871533466)</f>
        <v>0.19892287153346599</v>
      </c>
      <c r="K35" s="4">
        <f ca="1">IFERROR(__xludf.DUMMYFUNCTION("""COMPUTED_VALUE"""),51)</f>
        <v>51</v>
      </c>
      <c r="L35" s="4">
        <f ca="1">IFERROR(__xludf.DUMMYFUNCTION("""COMPUTED_VALUE"""),35)</f>
        <v>35</v>
      </c>
      <c r="M35" s="4">
        <f ca="1">IFERROR(__xludf.DUMMYFUNCTION("""COMPUTED_VALUE"""),0.222964876033057)</f>
        <v>0.22296487603305701</v>
      </c>
      <c r="N35" s="4">
        <f ca="1">IFERROR(__xludf.DUMMYFUNCTION("""COMPUTED_VALUE"""),34)</f>
        <v>34</v>
      </c>
      <c r="O35" s="4">
        <f ca="1">IFERROR(__xludf.DUMMYFUNCTION("""COMPUTED_VALUE"""),0.421887747566524)</f>
        <v>0.42188774756652397</v>
      </c>
      <c r="P35" s="4">
        <f ca="1">IFERROR(__xludf.DUMMYFUNCTION("""COMPUTED_VALUE"""),0.0482478893121674)</f>
        <v>4.8247889312167398E-2</v>
      </c>
    </row>
    <row r="36" spans="1:16" ht="16.8">
      <c r="A36" s="3" t="str">
        <f ca="1">IFERROR(__xludf.DUMMYFUNCTION("""COMPUTED_VALUE"""),"TGM Allstars")</f>
        <v>TGM Allstars</v>
      </c>
      <c r="B36" s="1" t="str">
        <f ca="1">IFERROR(__xludf.DUMMYFUNCTION("""COMPUTED_VALUE"""),"617")</f>
        <v>617</v>
      </c>
      <c r="C36" s="4">
        <f ca="1">IFERROR(__xludf.DUMMYFUNCTION("""COMPUTED_VALUE"""),0)</f>
        <v>0</v>
      </c>
      <c r="D36" s="4">
        <f ca="1">IFERROR(__xludf.DUMMYFUNCTION("""COMPUTED_VALUE"""),12)</f>
        <v>12</v>
      </c>
      <c r="E36" s="4">
        <f ca="1">IFERROR(__xludf.DUMMYFUNCTION("""COMPUTED_VALUE"""),56)</f>
        <v>56</v>
      </c>
      <c r="F36" s="4">
        <f ca="1">IFERROR(__xludf.DUMMYFUNCTION("""COMPUTED_VALUE"""),40)</f>
        <v>40</v>
      </c>
      <c r="G36" s="4">
        <f ca="1">IFERROR(__xludf.DUMMYFUNCTION("""COMPUTED_VALUE"""),30)</f>
        <v>30</v>
      </c>
      <c r="H36" s="4">
        <f ca="1">IFERROR(__xludf.DUMMYFUNCTION("""COMPUTED_VALUE"""),27.6)</f>
        <v>27.6</v>
      </c>
      <c r="I36" s="4">
        <f ca="1">IFERROR(__xludf.DUMMYFUNCTION("""COMPUTED_VALUE"""),44)</f>
        <v>44</v>
      </c>
      <c r="J36" s="4">
        <f ca="1">IFERROR(__xludf.DUMMYFUNCTION("""COMPUTED_VALUE"""),0.071956732811457)</f>
        <v>7.1956732811456994E-2</v>
      </c>
      <c r="K36" s="4">
        <f ca="1">IFERROR(__xludf.DUMMYFUNCTION("""COMPUTED_VALUE"""),83)</f>
        <v>83</v>
      </c>
      <c r="L36" s="4">
        <f ca="1">IFERROR(__xludf.DUMMYFUNCTION("""COMPUTED_VALUE"""),28)</f>
        <v>28</v>
      </c>
      <c r="M36" s="4">
        <f ca="1">IFERROR(__xludf.DUMMYFUNCTION("""COMPUTED_VALUE"""),0.334984504132231)</f>
        <v>0.33498450413223102</v>
      </c>
      <c r="N36" s="4">
        <f ca="1">IFERROR(__xludf.DUMMYFUNCTION("""COMPUTED_VALUE"""),35)</f>
        <v>35</v>
      </c>
      <c r="O36" s="4">
        <f ca="1">IFERROR(__xludf.DUMMYFUNCTION("""COMPUTED_VALUE"""),0.406941236943688)</f>
        <v>0.406941236943688</v>
      </c>
      <c r="P36" s="4">
        <f ca="1">IFERROR(__xludf.DUMMYFUNCTION("""COMPUTED_VALUE"""),0.0149465106228362)</f>
        <v>1.4946510622836201E-2</v>
      </c>
    </row>
    <row r="37" spans="1:16" ht="16.8">
      <c r="A37" s="3" t="str">
        <f ca="1">IFERROR(__xludf.DUMMYFUNCTION("""COMPUTED_VALUE"""),"Tucumcari")</f>
        <v>Tucumcari</v>
      </c>
      <c r="B37" s="1" t="str">
        <f ca="1">IFERROR(__xludf.DUMMYFUNCTION("""COMPUTED_VALUE"""),"310")</f>
        <v>310</v>
      </c>
      <c r="C37" s="4">
        <f ca="1">IFERROR(__xludf.DUMMYFUNCTION("""COMPUTED_VALUE"""),6)</f>
        <v>6</v>
      </c>
      <c r="D37" s="4">
        <f ca="1">IFERROR(__xludf.DUMMYFUNCTION("""COMPUTED_VALUE"""),24)</f>
        <v>24</v>
      </c>
      <c r="E37" s="4">
        <f ca="1">IFERROR(__xludf.DUMMYFUNCTION("""COMPUTED_VALUE"""),7)</f>
        <v>7</v>
      </c>
      <c r="F37" s="4">
        <f ca="1">IFERROR(__xludf.DUMMYFUNCTION("""COMPUTED_VALUE"""),90)</f>
        <v>90</v>
      </c>
      <c r="G37" s="4">
        <f ca="1">IFERROR(__xludf.DUMMYFUNCTION("""COMPUTED_VALUE"""),22)</f>
        <v>22</v>
      </c>
      <c r="H37" s="4">
        <f ca="1">IFERROR(__xludf.DUMMYFUNCTION("""COMPUTED_VALUE"""),29.8)</f>
        <v>29.8</v>
      </c>
      <c r="I37" s="4">
        <f ca="1">IFERROR(__xludf.DUMMYFUNCTION("""COMPUTED_VALUE"""),41)</f>
        <v>41</v>
      </c>
      <c r="J37" s="4">
        <f ca="1">IFERROR(__xludf.DUMMYFUNCTION("""COMPUTED_VALUE"""),0.113823654347958)</f>
        <v>0.11382365434795801</v>
      </c>
      <c r="K37" s="4">
        <f ca="1">IFERROR(__xludf.DUMMYFUNCTION("""COMPUTED_VALUE"""),57.5)</f>
        <v>57.5</v>
      </c>
      <c r="L37" s="4">
        <f ca="1">IFERROR(__xludf.DUMMYFUNCTION("""COMPUTED_VALUE"""),34)</f>
        <v>34</v>
      </c>
      <c r="M37" s="4">
        <f ca="1">IFERROR(__xludf.DUMMYFUNCTION("""COMPUTED_VALUE"""),0.239127066115702)</f>
        <v>0.239127066115702</v>
      </c>
      <c r="N37" s="4">
        <f ca="1">IFERROR(__xludf.DUMMYFUNCTION("""COMPUTED_VALUE"""),36)</f>
        <v>36</v>
      </c>
      <c r="O37" s="4">
        <f ca="1">IFERROR(__xludf.DUMMYFUNCTION("""COMPUTED_VALUE"""),0.35295072046366)</f>
        <v>0.35295072046365999</v>
      </c>
      <c r="P37" s="4">
        <f ca="1">IFERROR(__xludf.DUMMYFUNCTION("""COMPUTED_VALUE"""),0.0539905164800278)</f>
        <v>5.3990516480027798E-2</v>
      </c>
    </row>
    <row r="38" spans="1:16" ht="16.8">
      <c r="A38" s="3" t="str">
        <f ca="1">IFERROR(__xludf.DUMMYFUNCTION("""COMPUTED_VALUE"""),"Tucumcari")</f>
        <v>Tucumcari</v>
      </c>
      <c r="B38" s="1" t="str">
        <f ca="1">IFERROR(__xludf.DUMMYFUNCTION("""COMPUTED_VALUE"""),"803")</f>
        <v>803</v>
      </c>
      <c r="C38" s="4">
        <f ca="1">IFERROR(__xludf.DUMMYFUNCTION("""COMPUTED_VALUE"""),23)</f>
        <v>23</v>
      </c>
      <c r="D38" s="4">
        <f ca="1">IFERROR(__xludf.DUMMYFUNCTION("""COMPUTED_VALUE"""),23)</f>
        <v>23</v>
      </c>
      <c r="E38" s="4">
        <f ca="1">IFERROR(__xludf.DUMMYFUNCTION("""COMPUTED_VALUE"""),0)</f>
        <v>0</v>
      </c>
      <c r="F38" s="4">
        <f ca="1">IFERROR(__xludf.DUMMYFUNCTION("""COMPUTED_VALUE"""),12)</f>
        <v>12</v>
      </c>
      <c r="G38" s="4">
        <f ca="1">IFERROR(__xludf.DUMMYFUNCTION("""COMPUTED_VALUE"""),25)</f>
        <v>25</v>
      </c>
      <c r="H38" s="4">
        <f ca="1">IFERROR(__xludf.DUMMYFUNCTION("""COMPUTED_VALUE"""),16.6)</f>
        <v>16.600000000000001</v>
      </c>
      <c r="I38" s="4">
        <f ca="1">IFERROR(__xludf.DUMMYFUNCTION("""COMPUTED_VALUE"""),47)</f>
        <v>47</v>
      </c>
      <c r="J38" s="4">
        <f ca="1">IFERROR(__xludf.DUMMYFUNCTION("""COMPUTED_VALUE"""),0.0292887917956186)</f>
        <v>2.92887917956186E-2</v>
      </c>
      <c r="K38" s="4">
        <f ca="1">IFERROR(__xludf.DUMMYFUNCTION("""COMPUTED_VALUE"""),75)</f>
        <v>75</v>
      </c>
      <c r="L38" s="4">
        <f ca="1">IFERROR(__xludf.DUMMYFUNCTION("""COMPUTED_VALUE"""),29)</f>
        <v>29</v>
      </c>
      <c r="M38" s="4">
        <f ca="1">IFERROR(__xludf.DUMMYFUNCTION("""COMPUTED_VALUE"""),0.318698347107438)</f>
        <v>0.318698347107438</v>
      </c>
      <c r="N38" s="4">
        <f ca="1">IFERROR(__xludf.DUMMYFUNCTION("""COMPUTED_VALUE"""),37)</f>
        <v>37</v>
      </c>
      <c r="O38" s="4">
        <f ca="1">IFERROR(__xludf.DUMMYFUNCTION("""COMPUTED_VALUE"""),0.347987138903056)</f>
        <v>0.34798713890305599</v>
      </c>
      <c r="P38" s="4">
        <f ca="1">IFERROR(__xludf.DUMMYFUNCTION("""COMPUTED_VALUE"""),0.00496358156060383)</f>
        <v>4.9635815606038297E-3</v>
      </c>
    </row>
    <row r="39" spans="1:16" ht="16.8">
      <c r="A39" s="3" t="str">
        <f ca="1">IFERROR(__xludf.DUMMYFUNCTION("""COMPUTED_VALUE"""),"Tucumcari")</f>
        <v>Tucumcari</v>
      </c>
      <c r="B39" s="1" t="str">
        <f ca="1">IFERROR(__xludf.DUMMYFUNCTION("""COMPUTED_VALUE"""),"804")</f>
        <v>804</v>
      </c>
      <c r="C39" s="4">
        <f ca="1">IFERROR(__xludf.DUMMYFUNCTION("""COMPUTED_VALUE"""),15)</f>
        <v>15</v>
      </c>
      <c r="D39" s="4">
        <f ca="1">IFERROR(__xludf.DUMMYFUNCTION("""COMPUTED_VALUE"""),51)</f>
        <v>51</v>
      </c>
      <c r="E39" s="4">
        <f ca="1">IFERROR(__xludf.DUMMYFUNCTION("""COMPUTED_VALUE"""),47)</f>
        <v>47</v>
      </c>
      <c r="F39" s="4">
        <f ca="1">IFERROR(__xludf.DUMMYFUNCTION("""COMPUTED_VALUE"""),40)</f>
        <v>40</v>
      </c>
      <c r="G39" s="4">
        <f ca="1">IFERROR(__xludf.DUMMYFUNCTION("""COMPUTED_VALUE"""),40)</f>
        <v>40</v>
      </c>
      <c r="H39" s="4">
        <f ca="1">IFERROR(__xludf.DUMMYFUNCTION("""COMPUTED_VALUE"""),38.6)</f>
        <v>38.6</v>
      </c>
      <c r="I39" s="4">
        <f ca="1">IFERROR(__xludf.DUMMYFUNCTION("""COMPUTED_VALUE"""),36)</f>
        <v>36</v>
      </c>
      <c r="J39" s="4">
        <f ca="1">IFERROR(__xludf.DUMMYFUNCTION("""COMPUTED_VALUE"""),0.184069118271739)</f>
        <v>0.184069118271739</v>
      </c>
      <c r="K39" s="4">
        <f ca="1">IFERROR(__xludf.DUMMYFUNCTION("""COMPUTED_VALUE"""),44.5)</f>
        <v>44.5</v>
      </c>
      <c r="L39" s="4">
        <f ca="1">IFERROR(__xludf.DUMMYFUNCTION("""COMPUTED_VALUE"""),39)</f>
        <v>39</v>
      </c>
      <c r="M39" s="4">
        <f ca="1">IFERROR(__xludf.DUMMYFUNCTION("""COMPUTED_VALUE"""),0.159927685950413)</f>
        <v>0.15992768595041301</v>
      </c>
      <c r="N39" s="4">
        <f ca="1">IFERROR(__xludf.DUMMYFUNCTION("""COMPUTED_VALUE"""),38)</f>
        <v>38</v>
      </c>
      <c r="O39" s="4">
        <f ca="1">IFERROR(__xludf.DUMMYFUNCTION("""COMPUTED_VALUE"""),0.343996804222153)</f>
        <v>0.34399680422215301</v>
      </c>
      <c r="P39" s="4">
        <f ca="1">IFERROR(__xludf.DUMMYFUNCTION("""COMPUTED_VALUE"""),0.00399033468090365)</f>
        <v>3.9903346809036502E-3</v>
      </c>
    </row>
    <row r="40" spans="1:16" ht="16.8">
      <c r="A40" s="3" t="str">
        <f ca="1">IFERROR(__xludf.DUMMYFUNCTION("""COMPUTED_VALUE"""),"Olive Tree International Academy")</f>
        <v>Olive Tree International Academy</v>
      </c>
      <c r="B40" s="1" t="str">
        <f ca="1">IFERROR(__xludf.DUMMYFUNCTION("""COMPUTED_VALUE"""),"661")</f>
        <v>661</v>
      </c>
      <c r="C40" s="4">
        <f ca="1">IFERROR(__xludf.DUMMYFUNCTION("""COMPUTED_VALUE"""),20)</f>
        <v>20</v>
      </c>
      <c r="D40" s="4">
        <f ca="1">IFERROR(__xludf.DUMMYFUNCTION("""COMPUTED_VALUE"""),52)</f>
        <v>52</v>
      </c>
      <c r="E40" s="4">
        <f ca="1">IFERROR(__xludf.DUMMYFUNCTION("""COMPUTED_VALUE"""),22)</f>
        <v>22</v>
      </c>
      <c r="F40" s="4">
        <f ca="1">IFERROR(__xludf.DUMMYFUNCTION("""COMPUTED_VALUE"""),36)</f>
        <v>36</v>
      </c>
      <c r="G40" s="4">
        <f ca="1">IFERROR(__xludf.DUMMYFUNCTION("""COMPUTED_VALUE"""),48)</f>
        <v>48</v>
      </c>
      <c r="H40" s="4">
        <f ca="1">IFERROR(__xludf.DUMMYFUNCTION("""COMPUTED_VALUE"""),35.6)</f>
        <v>35.6</v>
      </c>
      <c r="I40" s="4">
        <f ca="1">IFERROR(__xludf.DUMMYFUNCTION("""COMPUTED_VALUE"""),39)</f>
        <v>39</v>
      </c>
      <c r="J40" s="4">
        <f ca="1">IFERROR(__xludf.DUMMYFUNCTION("""COMPUTED_VALUE"""),0.142129376782571)</f>
        <v>0.14212937678257101</v>
      </c>
      <c r="K40" s="4">
        <f ca="1">IFERROR(__xludf.DUMMYFUNCTION("""COMPUTED_VALUE"""),48)</f>
        <v>48</v>
      </c>
      <c r="L40" s="4">
        <f ca="1">IFERROR(__xludf.DUMMYFUNCTION("""COMPUTED_VALUE"""),37)</f>
        <v>37</v>
      </c>
      <c r="M40" s="4">
        <f ca="1">IFERROR(__xludf.DUMMYFUNCTION("""COMPUTED_VALUE"""),0.19146694214876)</f>
        <v>0.19146694214876001</v>
      </c>
      <c r="N40" s="4">
        <f ca="1">IFERROR(__xludf.DUMMYFUNCTION("""COMPUTED_VALUE"""),39)</f>
        <v>39</v>
      </c>
      <c r="O40" s="4">
        <f ca="1">IFERROR(__xludf.DUMMYFUNCTION("""COMPUTED_VALUE"""),0.333596318931332)</f>
        <v>0.33359631893133201</v>
      </c>
      <c r="P40" s="4">
        <f ca="1">IFERROR(__xludf.DUMMYFUNCTION("""COMPUTED_VALUE"""),0.0104004852908209)</f>
        <v>1.04004852908209E-2</v>
      </c>
    </row>
    <row r="41" spans="1:16" ht="16.8">
      <c r="A41" s="3" t="str">
        <f ca="1">IFERROR(__xludf.DUMMYFUNCTION("""COMPUTED_VALUE"""),"Jerome High School")</f>
        <v>Jerome High School</v>
      </c>
      <c r="B41" s="1" t="str">
        <f ca="1">IFERROR(__xludf.DUMMYFUNCTION("""COMPUTED_VALUE"""),"889")</f>
        <v>889</v>
      </c>
      <c r="C41" s="4">
        <f ca="1">IFERROR(__xludf.DUMMYFUNCTION("""COMPUTED_VALUE"""),51)</f>
        <v>51</v>
      </c>
      <c r="D41" s="4">
        <f ca="1">IFERROR(__xludf.DUMMYFUNCTION("""COMPUTED_VALUE"""),36)</f>
        <v>36</v>
      </c>
      <c r="E41" s="4">
        <f ca="1">IFERROR(__xludf.DUMMYFUNCTION("""COMPUTED_VALUE"""),6)</f>
        <v>6</v>
      </c>
      <c r="F41" s="4">
        <f ca="1">IFERROR(__xludf.DUMMYFUNCTION("""COMPUTED_VALUE"""),29)</f>
        <v>29</v>
      </c>
      <c r="G41" s="4">
        <f ca="1">IFERROR(__xludf.DUMMYFUNCTION("""COMPUTED_VALUE"""),21)</f>
        <v>21</v>
      </c>
      <c r="H41" s="4">
        <f ca="1">IFERROR(__xludf.DUMMYFUNCTION("""COMPUTED_VALUE"""),28.6)</f>
        <v>28.6</v>
      </c>
      <c r="I41" s="4">
        <f ca="1">IFERROR(__xludf.DUMMYFUNCTION("""COMPUTED_VALUE"""),42)</f>
        <v>42</v>
      </c>
      <c r="J41" s="4">
        <f ca="1">IFERROR(__xludf.DUMMYFUNCTION("""COMPUTED_VALUE"""),0.0998255355300685)</f>
        <v>9.9825535530068496E-2</v>
      </c>
      <c r="K41" s="4">
        <f ca="1">IFERROR(__xludf.DUMMYFUNCTION("""COMPUTED_VALUE"""),50.5)</f>
        <v>50.5</v>
      </c>
      <c r="L41" s="4">
        <f ca="1">IFERROR(__xludf.DUMMYFUNCTION("""COMPUTED_VALUE"""),36)</f>
        <v>36</v>
      </c>
      <c r="M41" s="4">
        <f ca="1">IFERROR(__xludf.DUMMYFUNCTION("""COMPUTED_VALUE"""),0.207298553719008)</f>
        <v>0.20729855371900799</v>
      </c>
      <c r="N41" s="4">
        <f ca="1">IFERROR(__xludf.DUMMYFUNCTION("""COMPUTED_VALUE"""),40)</f>
        <v>40</v>
      </c>
      <c r="O41" s="4">
        <f ca="1">IFERROR(__xludf.DUMMYFUNCTION("""COMPUTED_VALUE"""),0.307124089249076)</f>
        <v>0.30712408924907603</v>
      </c>
      <c r="P41" s="4">
        <f ca="1">IFERROR(__xludf.DUMMYFUNCTION("""COMPUTED_VALUE"""),0.0264722296822552)</f>
        <v>2.64722296822552E-2</v>
      </c>
    </row>
    <row r="42" spans="1:16" ht="16.8">
      <c r="A42" s="3" t="str">
        <f ca="1">IFERROR(__xludf.DUMMYFUNCTION("""COMPUTED_VALUE"""),"Curtis Inge Middle School")</f>
        <v>Curtis Inge Middle School</v>
      </c>
      <c r="B42" s="1" t="str">
        <f ca="1">IFERROR(__xludf.DUMMYFUNCTION("""COMPUTED_VALUE"""),"711")</f>
        <v>711</v>
      </c>
      <c r="C42" s="4">
        <f ca="1">IFERROR(__xludf.DUMMYFUNCTION("""COMPUTED_VALUE"""),29)</f>
        <v>29</v>
      </c>
      <c r="D42" s="4">
        <f ca="1">IFERROR(__xludf.DUMMYFUNCTION("""COMPUTED_VALUE"""),148)</f>
        <v>148</v>
      </c>
      <c r="E42" s="4">
        <f ca="1">IFERROR(__xludf.DUMMYFUNCTION("""COMPUTED_VALUE"""),28)</f>
        <v>28</v>
      </c>
      <c r="F42" s="4">
        <f ca="1">IFERROR(__xludf.DUMMYFUNCTION("""COMPUTED_VALUE"""),6)</f>
        <v>6</v>
      </c>
      <c r="G42" s="4">
        <f ca="1">IFERROR(__xludf.DUMMYFUNCTION("""COMPUTED_VALUE"""),58)</f>
        <v>58</v>
      </c>
      <c r="H42" s="4">
        <f ca="1">IFERROR(__xludf.DUMMYFUNCTION("""COMPUTED_VALUE"""),53.8)</f>
        <v>53.8</v>
      </c>
      <c r="I42" s="4">
        <f ca="1">IFERROR(__xludf.DUMMYFUNCTION("""COMPUTED_VALUE"""),33)</f>
        <v>33</v>
      </c>
      <c r="J42" s="4">
        <f ca="1">IFERROR(__xludf.DUMMYFUNCTION("""COMPUTED_VALUE"""),0.22711936403908)</f>
        <v>0.22711936403908001</v>
      </c>
      <c r="K42" s="4">
        <f ca="1">IFERROR(__xludf.DUMMYFUNCTION("""COMPUTED_VALUE"""),31.5)</f>
        <v>31.5</v>
      </c>
      <c r="L42" s="4">
        <f ca="1">IFERROR(__xludf.DUMMYFUNCTION("""COMPUTED_VALUE"""),45)</f>
        <v>45</v>
      </c>
      <c r="M42" s="4">
        <f ca="1">IFERROR(__xludf.DUMMYFUNCTION("""COMPUTED_VALUE"""),0.0651033057851239)</f>
        <v>6.5103305785123897E-2</v>
      </c>
      <c r="N42" s="4">
        <f ca="1">IFERROR(__xludf.DUMMYFUNCTION("""COMPUTED_VALUE"""),41)</f>
        <v>41</v>
      </c>
      <c r="O42" s="4">
        <f ca="1">IFERROR(__xludf.DUMMYFUNCTION("""COMPUTED_VALUE"""),0.292222669824204)</f>
        <v>0.29222266982420397</v>
      </c>
      <c r="P42" s="4">
        <f ca="1">IFERROR(__xludf.DUMMYFUNCTION("""COMPUTED_VALUE"""),0.0149014194248728)</f>
        <v>1.4901419424872799E-2</v>
      </c>
    </row>
    <row r="43" spans="1:16" ht="16.8">
      <c r="A43" s="3" t="str">
        <f ca="1">IFERROR(__xludf.DUMMYFUNCTION("""COMPUTED_VALUE"""),"Great Mills High School")</f>
        <v>Great Mills High School</v>
      </c>
      <c r="B43" s="1" t="str">
        <f ca="1">IFERROR(__xludf.DUMMYFUNCTION("""COMPUTED_VALUE"""),"504")</f>
        <v>504</v>
      </c>
      <c r="C43" s="4">
        <f ca="1">IFERROR(__xludf.DUMMYFUNCTION("""COMPUTED_VALUE"""),39)</f>
        <v>39</v>
      </c>
      <c r="D43" s="4">
        <f ca="1">IFERROR(__xludf.DUMMYFUNCTION("""COMPUTED_VALUE"""),72)</f>
        <v>72</v>
      </c>
      <c r="E43" s="4">
        <f ca="1">IFERROR(__xludf.DUMMYFUNCTION("""COMPUTED_VALUE"""),34)</f>
        <v>34</v>
      </c>
      <c r="F43" s="4">
        <f ca="1">IFERROR(__xludf.DUMMYFUNCTION("""COMPUTED_VALUE"""),76)</f>
        <v>76</v>
      </c>
      <c r="G43" s="4">
        <f ca="1">IFERROR(__xludf.DUMMYFUNCTION("""COMPUTED_VALUE"""),61)</f>
        <v>61</v>
      </c>
      <c r="H43" s="4">
        <f ca="1">IFERROR(__xludf.DUMMYFUNCTION("""COMPUTED_VALUE"""),56.4)</f>
        <v>56.4</v>
      </c>
      <c r="I43" s="4">
        <f ca="1">IFERROR(__xludf.DUMMYFUNCTION("""COMPUTED_VALUE"""),32)</f>
        <v>32</v>
      </c>
      <c r="J43" s="4">
        <f ca="1">IFERROR(__xludf.DUMMYFUNCTION("""COMPUTED_VALUE"""),0.241244917774136)</f>
        <v>0.24124491777413601</v>
      </c>
      <c r="K43" s="4">
        <f ca="1">IFERROR(__xludf.DUMMYFUNCTION("""COMPUTED_VALUE"""),20.5)</f>
        <v>20.5</v>
      </c>
      <c r="L43" s="4">
        <f ca="1">IFERROR(__xludf.DUMMYFUNCTION("""COMPUTED_VALUE"""),47)</f>
        <v>47</v>
      </c>
      <c r="M43" s="4">
        <f ca="1">IFERROR(__xludf.DUMMYFUNCTION("""COMPUTED_VALUE"""),0.032944214876033)</f>
        <v>3.2944214876033003E-2</v>
      </c>
      <c r="N43" s="4">
        <f ca="1">IFERROR(__xludf.DUMMYFUNCTION("""COMPUTED_VALUE"""),42)</f>
        <v>42</v>
      </c>
      <c r="O43" s="4">
        <f ca="1">IFERROR(__xludf.DUMMYFUNCTION("""COMPUTED_VALUE"""),0.274189132650169)</f>
        <v>0.27418913265016898</v>
      </c>
      <c r="P43" s="4">
        <f ca="1">IFERROR(__xludf.DUMMYFUNCTION("""COMPUTED_VALUE"""),0.0180335371740341)</f>
        <v>1.8033537174034098E-2</v>
      </c>
    </row>
    <row r="44" spans="1:16" ht="16.8">
      <c r="A44" s="3" t="str">
        <f ca="1">IFERROR(__xludf.DUMMYFUNCTION("""COMPUTED_VALUE"""),"Malden Catholic High School - John Wick")</f>
        <v>Malden Catholic High School - John Wick</v>
      </c>
      <c r="B44" s="1" t="str">
        <f ca="1">IFERROR(__xludf.DUMMYFUNCTION("""COMPUTED_VALUE"""),"770")</f>
        <v>770</v>
      </c>
      <c r="C44" s="4">
        <f ca="1">IFERROR(__xludf.DUMMYFUNCTION("""COMPUTED_VALUE"""),11)</f>
        <v>11</v>
      </c>
      <c r="D44" s="4">
        <f ca="1">IFERROR(__xludf.DUMMYFUNCTION("""COMPUTED_VALUE"""),55)</f>
        <v>55</v>
      </c>
      <c r="E44" s="4">
        <f ca="1">IFERROR(__xludf.DUMMYFUNCTION("""COMPUTED_VALUE"""),39)</f>
        <v>39</v>
      </c>
      <c r="F44" s="4">
        <f ca="1">IFERROR(__xludf.DUMMYFUNCTION("""COMPUTED_VALUE"""),31)</f>
        <v>31</v>
      </c>
      <c r="G44" s="4">
        <f ca="1">IFERROR(__xludf.DUMMYFUNCTION("""COMPUTED_VALUE"""),44)</f>
        <v>44</v>
      </c>
      <c r="H44" s="4">
        <f ca="1">IFERROR(__xludf.DUMMYFUNCTION("""COMPUTED_VALUE"""),36)</f>
        <v>36</v>
      </c>
      <c r="I44" s="4">
        <f ca="1">IFERROR(__xludf.DUMMYFUNCTION("""COMPUTED_VALUE"""),38)</f>
        <v>38</v>
      </c>
      <c r="J44" s="4">
        <f ca="1">IFERROR(__xludf.DUMMYFUNCTION("""COMPUTED_VALUE"""),0.156054675647794)</f>
        <v>0.15605467564779399</v>
      </c>
      <c r="K44" s="4">
        <f ca="1">IFERROR(__xludf.DUMMYFUNCTION("""COMPUTED_VALUE"""),37.5)</f>
        <v>37.5</v>
      </c>
      <c r="L44" s="4">
        <f ca="1">IFERROR(__xludf.DUMMYFUNCTION("""COMPUTED_VALUE"""),42)</f>
        <v>42</v>
      </c>
      <c r="M44" s="4">
        <f ca="1">IFERROR(__xludf.DUMMYFUNCTION("""COMPUTED_VALUE"""),0.112474173553719)</f>
        <v>0.112474173553719</v>
      </c>
      <c r="N44" s="4">
        <f ca="1">IFERROR(__xludf.DUMMYFUNCTION("""COMPUTED_VALUE"""),43)</f>
        <v>43</v>
      </c>
      <c r="O44" s="4">
        <f ca="1">IFERROR(__xludf.DUMMYFUNCTION("""COMPUTED_VALUE"""),0.268528849201513)</f>
        <v>0.26852884920151299</v>
      </c>
      <c r="P44" s="4">
        <f ca="1">IFERROR(__xludf.DUMMYFUNCTION("""COMPUTED_VALUE"""),0.00566028344865665)</f>
        <v>5.6602834486566504E-3</v>
      </c>
    </row>
    <row r="45" spans="1:16" ht="16.8">
      <c r="A45" s="3" t="str">
        <f ca="1">IFERROR(__xludf.DUMMYFUNCTION("""COMPUTED_VALUE"""),"Tucumcari")</f>
        <v>Tucumcari</v>
      </c>
      <c r="B45" s="1" t="str">
        <f ca="1">IFERROR(__xludf.DUMMYFUNCTION("""COMPUTED_VALUE"""),"806")</f>
        <v>806</v>
      </c>
      <c r="C45" s="4">
        <f ca="1">IFERROR(__xludf.DUMMYFUNCTION("""COMPUTED_VALUE"""),32)</f>
        <v>32</v>
      </c>
      <c r="D45" s="4">
        <f ca="1">IFERROR(__xludf.DUMMYFUNCTION("""COMPUTED_VALUE"""),45)</f>
        <v>45</v>
      </c>
      <c r="E45" s="4">
        <f ca="1">IFERROR(__xludf.DUMMYFUNCTION("""COMPUTED_VALUE"""),26)</f>
        <v>26</v>
      </c>
      <c r="F45" s="4">
        <f ca="1">IFERROR(__xludf.DUMMYFUNCTION("""COMPUTED_VALUE"""),20)</f>
        <v>20</v>
      </c>
      <c r="G45" s="4">
        <f ca="1">IFERROR(__xludf.DUMMYFUNCTION("""COMPUTED_VALUE"""),39)</f>
        <v>39</v>
      </c>
      <c r="H45" s="4">
        <f ca="1">IFERROR(__xludf.DUMMYFUNCTION("""COMPUTED_VALUE"""),32.4)</f>
        <v>32.4</v>
      </c>
      <c r="I45" s="4">
        <f ca="1">IFERROR(__xludf.DUMMYFUNCTION("""COMPUTED_VALUE"""),40)</f>
        <v>40</v>
      </c>
      <c r="J45" s="4">
        <f ca="1">IFERROR(__xludf.DUMMYFUNCTION("""COMPUTED_VALUE"""),0.127949208083014)</f>
        <v>0.12794920808301399</v>
      </c>
      <c r="K45" s="4">
        <f ca="1">IFERROR(__xludf.DUMMYFUNCTION("""COMPUTED_VALUE"""),37)</f>
        <v>37</v>
      </c>
      <c r="L45" s="4">
        <f ca="1">IFERROR(__xludf.DUMMYFUNCTION("""COMPUTED_VALUE"""),43)</f>
        <v>43</v>
      </c>
      <c r="M45" s="4">
        <f ca="1">IFERROR(__xludf.DUMMYFUNCTION("""COMPUTED_VALUE"""),0.0968078512396694)</f>
        <v>9.6807851239669396E-2</v>
      </c>
      <c r="N45" s="4">
        <f ca="1">IFERROR(__xludf.DUMMYFUNCTION("""COMPUTED_VALUE"""),44)</f>
        <v>44</v>
      </c>
      <c r="O45" s="4">
        <f ca="1">IFERROR(__xludf.DUMMYFUNCTION("""COMPUTED_VALUE"""),0.224757059322684)</f>
        <v>0.224757059322684</v>
      </c>
      <c r="P45" s="4">
        <f ca="1">IFERROR(__xludf.DUMMYFUNCTION("""COMPUTED_VALUE"""),0.0437717898788289)</f>
        <v>4.3771789878828897E-2</v>
      </c>
    </row>
    <row r="46" spans="1:16" ht="16.8">
      <c r="A46" s="3" t="str">
        <f ca="1">IFERROR(__xludf.DUMMYFUNCTION("""COMPUTED_VALUE"""),"Millwood Arts Academy")</f>
        <v>Millwood Arts Academy</v>
      </c>
      <c r="B46" s="1" t="str">
        <f ca="1">IFERROR(__xludf.DUMMYFUNCTION("""COMPUTED_VALUE"""),"59")</f>
        <v>59</v>
      </c>
      <c r="C46" s="4">
        <f ca="1">IFERROR(__xludf.DUMMYFUNCTION("""COMPUTED_VALUE"""),23)</f>
        <v>23</v>
      </c>
      <c r="D46" s="4">
        <f ca="1">IFERROR(__xludf.DUMMYFUNCTION("""COMPUTED_VALUE"""),33)</f>
        <v>33</v>
      </c>
      <c r="E46" s="4">
        <f ca="1">IFERROR(__xludf.DUMMYFUNCTION("""COMPUTED_VALUE"""),7)</f>
        <v>7</v>
      </c>
      <c r="F46" s="4">
        <f ca="1">IFERROR(__xludf.DUMMYFUNCTION("""COMPUTED_VALUE"""),23)</f>
        <v>23</v>
      </c>
      <c r="G46" s="4">
        <f ca="1">IFERROR(__xludf.DUMMYFUNCTION("""COMPUTED_VALUE"""),12)</f>
        <v>12</v>
      </c>
      <c r="H46" s="4">
        <f ca="1">IFERROR(__xludf.DUMMYFUNCTION("""COMPUTED_VALUE"""),19.6)</f>
        <v>19.600000000000001</v>
      </c>
      <c r="I46" s="4">
        <f ca="1">IFERROR(__xludf.DUMMYFUNCTION("""COMPUTED_VALUE"""),46)</f>
        <v>46</v>
      </c>
      <c r="J46" s="4">
        <f ca="1">IFERROR(__xludf.DUMMYFUNCTION("""COMPUTED_VALUE"""),0.0434507555070089)</f>
        <v>4.3450755507008901E-2</v>
      </c>
      <c r="K46" s="4">
        <f ca="1">IFERROR(__xludf.DUMMYFUNCTION("""COMPUTED_VALUE"""),39)</f>
        <v>39</v>
      </c>
      <c r="L46" s="4">
        <f ca="1">IFERROR(__xludf.DUMMYFUNCTION("""COMPUTED_VALUE"""),41)</f>
        <v>41</v>
      </c>
      <c r="M46" s="4">
        <f ca="1">IFERROR(__xludf.DUMMYFUNCTION("""COMPUTED_VALUE"""),0.128223140495867)</f>
        <v>0.128223140495867</v>
      </c>
      <c r="N46" s="4">
        <f ca="1">IFERROR(__xludf.DUMMYFUNCTION("""COMPUTED_VALUE"""),45)</f>
        <v>45</v>
      </c>
      <c r="O46" s="4">
        <f ca="1">IFERROR(__xludf.DUMMYFUNCTION("""COMPUTED_VALUE"""),0.171673896002876)</f>
        <v>0.171673896002876</v>
      </c>
      <c r="P46" s="4">
        <f ca="1">IFERROR(__xludf.DUMMYFUNCTION("""COMPUTED_VALUE"""),0.0530831633198074)</f>
        <v>5.3083163319807398E-2</v>
      </c>
    </row>
    <row r="47" spans="1:16" ht="16.8">
      <c r="A47" s="3" t="str">
        <f ca="1">IFERROR(__xludf.DUMMYFUNCTION("""COMPUTED_VALUE"""),"Australia Team")</f>
        <v>Australia Team</v>
      </c>
      <c r="B47" s="1" t="str">
        <f ca="1">IFERROR(__xludf.DUMMYFUNCTION("""COMPUTED_VALUE"""),"921")</f>
        <v>921</v>
      </c>
      <c r="C47" s="4">
        <f ca="1">IFERROR(__xludf.DUMMYFUNCTION("""COMPUTED_VALUE"""),21)</f>
        <v>21</v>
      </c>
      <c r="D47" s="4">
        <f ca="1">IFERROR(__xludf.DUMMYFUNCTION("""COMPUTED_VALUE"""),47)</f>
        <v>47</v>
      </c>
      <c r="E47" s="4">
        <f ca="1">IFERROR(__xludf.DUMMYFUNCTION("""COMPUTED_VALUE"""),11)</f>
        <v>11</v>
      </c>
      <c r="F47" s="4">
        <f ca="1">IFERROR(__xludf.DUMMYFUNCTION("""COMPUTED_VALUE"""),22)</f>
        <v>22</v>
      </c>
      <c r="G47" s="4">
        <f ca="1">IFERROR(__xludf.DUMMYFUNCTION("""COMPUTED_VALUE"""),29)</f>
        <v>29</v>
      </c>
      <c r="H47" s="4">
        <f ca="1">IFERROR(__xludf.DUMMYFUNCTION("""COMPUTED_VALUE"""),26)</f>
        <v>26</v>
      </c>
      <c r="I47" s="4">
        <f ca="1">IFERROR(__xludf.DUMMYFUNCTION("""COMPUTED_VALUE"""),45)</f>
        <v>45</v>
      </c>
      <c r="J47" s="4">
        <f ca="1">IFERROR(__xludf.DUMMYFUNCTION("""COMPUTED_VALUE"""),0.057922204017234)</f>
        <v>5.7922204017233997E-2</v>
      </c>
      <c r="K47" s="4">
        <f ca="1">IFERROR(__xludf.DUMMYFUNCTION("""COMPUTED_VALUE"""),32)</f>
        <v>32</v>
      </c>
      <c r="L47" s="4">
        <f ca="1">IFERROR(__xludf.DUMMYFUNCTION("""COMPUTED_VALUE"""),44)</f>
        <v>44</v>
      </c>
      <c r="M47" s="4">
        <f ca="1">IFERROR(__xludf.DUMMYFUNCTION("""COMPUTED_VALUE"""),0.0807696280991735)</f>
        <v>8.0769628099173499E-2</v>
      </c>
      <c r="N47" s="4">
        <f ca="1">IFERROR(__xludf.DUMMYFUNCTION("""COMPUTED_VALUE"""),46)</f>
        <v>46</v>
      </c>
      <c r="O47" s="4">
        <f ca="1">IFERROR(__xludf.DUMMYFUNCTION("""COMPUTED_VALUE"""),0.138691832116407)</f>
        <v>0.13869183211640701</v>
      </c>
      <c r="P47" s="4">
        <f ca="1">IFERROR(__xludf.DUMMYFUNCTION("""COMPUTED_VALUE"""),0.032982063886469)</f>
        <v>3.2982063886469001E-2</v>
      </c>
    </row>
    <row r="48" spans="1:16" ht="16.8">
      <c r="A48" s="3" t="str">
        <f ca="1">IFERROR(__xludf.DUMMYFUNCTION("""COMPUTED_VALUE"""),"Bald Eagle Area School District")</f>
        <v>Bald Eagle Area School District</v>
      </c>
      <c r="B48" s="1" t="str">
        <f ca="1">IFERROR(__xludf.DUMMYFUNCTION("""COMPUTED_VALUE"""),"86")</f>
        <v>86</v>
      </c>
      <c r="C48" s="4">
        <f ca="1">IFERROR(__xludf.DUMMYFUNCTION("""COMPUTED_VALUE"""),11)</f>
        <v>11</v>
      </c>
      <c r="D48" s="4">
        <f ca="1">IFERROR(__xludf.DUMMYFUNCTION("""COMPUTED_VALUE"""),10)</f>
        <v>10</v>
      </c>
      <c r="E48" s="4">
        <f ca="1">IFERROR(__xludf.DUMMYFUNCTION("""COMPUTED_VALUE"""),31)</f>
        <v>31</v>
      </c>
      <c r="F48" s="4">
        <f ca="1">IFERROR(__xludf.DUMMYFUNCTION("""COMPUTED_VALUE"""),16)</f>
        <v>16</v>
      </c>
      <c r="G48" s="4">
        <f ca="1">IFERROR(__xludf.DUMMYFUNCTION("""COMPUTED_VALUE"""),74)</f>
        <v>74</v>
      </c>
      <c r="H48" s="4">
        <f ca="1">IFERROR(__xludf.DUMMYFUNCTION("""COMPUTED_VALUE"""),28.4)</f>
        <v>28.4</v>
      </c>
      <c r="I48" s="4">
        <f ca="1">IFERROR(__xludf.DUMMYFUNCTION("""COMPUTED_VALUE"""),43)</f>
        <v>43</v>
      </c>
      <c r="J48" s="4">
        <f ca="1">IFERROR(__xludf.DUMMYFUNCTION("""COMPUTED_VALUE"""),0.0859184416530129)</f>
        <v>8.5918441653012906E-2</v>
      </c>
      <c r="K48" s="4">
        <f ca="1">IFERROR(__xludf.DUMMYFUNCTION("""COMPUTED_VALUE"""),19.5)</f>
        <v>19.5</v>
      </c>
      <c r="L48" s="4">
        <f ca="1">IFERROR(__xludf.DUMMYFUNCTION("""COMPUTED_VALUE"""),48)</f>
        <v>48</v>
      </c>
      <c r="M48" s="4">
        <f ca="1">IFERROR(__xludf.DUMMYFUNCTION("""COMPUTED_VALUE"""),0.0172365702479338)</f>
        <v>1.7236570247933802E-2</v>
      </c>
      <c r="N48" s="4">
        <f ca="1">IFERROR(__xludf.DUMMYFUNCTION("""COMPUTED_VALUE"""),47)</f>
        <v>47</v>
      </c>
      <c r="O48" s="4">
        <f ca="1">IFERROR(__xludf.DUMMYFUNCTION("""COMPUTED_VALUE"""),0.103155011900946)</f>
        <v>0.103155011900946</v>
      </c>
      <c r="P48" s="4">
        <f ca="1">IFERROR(__xludf.DUMMYFUNCTION("""COMPUTED_VALUE"""),0.0355368202154608)</f>
        <v>3.5536820215460799E-2</v>
      </c>
    </row>
    <row r="49" spans="1:16" ht="16.8">
      <c r="A49" s="3" t="str">
        <f ca="1">IFERROR(__xludf.DUMMYFUNCTION("""COMPUTED_VALUE"""),"Buffalo Valley Public Schools")</f>
        <v>Buffalo Valley Public Schools</v>
      </c>
      <c r="B49" s="1" t="str">
        <f ca="1">IFERROR(__xludf.DUMMYFUNCTION("""COMPUTED_VALUE"""),"866")</f>
        <v>866</v>
      </c>
      <c r="C49" s="4">
        <f ca="1">IFERROR(__xludf.DUMMYFUNCTION("""COMPUTED_VALUE"""),15)</f>
        <v>15</v>
      </c>
      <c r="D49" s="4">
        <f ca="1">IFERROR(__xludf.DUMMYFUNCTION("""COMPUTED_VALUE"""),15)</f>
        <v>15</v>
      </c>
      <c r="E49" s="4">
        <f ca="1">IFERROR(__xludf.DUMMYFUNCTION("""COMPUTED_VALUE"""),27)</f>
        <v>27</v>
      </c>
      <c r="F49" s="4">
        <f ca="1">IFERROR(__xludf.DUMMYFUNCTION("""COMPUTED_VALUE"""),9)</f>
        <v>9</v>
      </c>
      <c r="G49" s="4">
        <f ca="1">IFERROR(__xludf.DUMMYFUNCTION("""COMPUTED_VALUE"""),15)</f>
        <v>15</v>
      </c>
      <c r="H49" s="4">
        <f ca="1">IFERROR(__xludf.DUMMYFUNCTION("""COMPUTED_VALUE"""),16.2)</f>
        <v>16.2</v>
      </c>
      <c r="I49" s="4">
        <f ca="1">IFERROR(__xludf.DUMMYFUNCTION("""COMPUTED_VALUE"""),48)</f>
        <v>48</v>
      </c>
      <c r="J49" s="4">
        <f ca="1">IFERROR(__xludf.DUMMYFUNCTION("""COMPUTED_VALUE"""),0.0153634929303962)</f>
        <v>1.53634929303962E-2</v>
      </c>
      <c r="K49" s="4">
        <f ca="1">IFERROR(__xludf.DUMMYFUNCTION("""COMPUTED_VALUE"""),30.5)</f>
        <v>30.5</v>
      </c>
      <c r="L49" s="4">
        <f ca="1">IFERROR(__xludf.DUMMYFUNCTION("""COMPUTED_VALUE"""),46)</f>
        <v>46</v>
      </c>
      <c r="M49" s="4">
        <f ca="1">IFERROR(__xludf.DUMMYFUNCTION("""COMPUTED_VALUE"""),0.0493956611570247)</f>
        <v>4.9395661157024699E-2</v>
      </c>
      <c r="N49" s="4">
        <f ca="1">IFERROR(__xludf.DUMMYFUNCTION("""COMPUTED_VALUE"""),48)</f>
        <v>48</v>
      </c>
      <c r="O49" s="4">
        <f ca="1">IFERROR(__xludf.DUMMYFUNCTION("""COMPUTED_VALUE"""),0.064759154087421)</f>
        <v>6.4759154087421E-2</v>
      </c>
      <c r="P49" s="4">
        <f ca="1">IFERROR(__xludf.DUMMYFUNCTION("""COMPUTED_VALUE"""),0.0383958578135257)</f>
        <v>3.8395857813525697E-2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00"/>
    <outlinePr summaryBelow="0" summaryRight="0"/>
  </sheetPr>
  <dimension ref="A1:H4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6640625" defaultRowHeight="15.75" customHeight="1"/>
  <cols>
    <col min="1" max="1" width="46.109375" customWidth="1"/>
    <col min="2" max="2" width="11.88671875" customWidth="1"/>
    <col min="3" max="5" width="9.6640625" customWidth="1"/>
    <col min="6" max="6" width="15.21875" customWidth="1"/>
    <col min="7" max="7" width="12.109375" customWidth="1"/>
    <col min="8" max="8" width="16" customWidth="1"/>
  </cols>
  <sheetData>
    <row r="1" spans="1:8" ht="15.75" customHeight="1">
      <c r="A1" s="1" t="str">
        <f ca="1">IFERROR(__xludf.DUMMYFUNCTION("IMPORTRANGE(""https://docs.google.com/spreadsheets/d/11rZfuCcnWwx4mypRymG7SP3aoV-_A_PQ83tyDxi-OiQ/edit?pli=1&amp;gid=620283645#gid=620283645"", ""Seeding!A1:H49"")"),"Team Name")</f>
        <v>Team Name</v>
      </c>
      <c r="B1" s="1" t="str">
        <f ca="1">IFERROR(__xludf.DUMMYFUNCTION("""COMPUTED_VALUE"""),"Team Num")</f>
        <v>Team Num</v>
      </c>
      <c r="C1" s="2" t="str">
        <f ca="1">IFERROR(__xludf.DUMMYFUNCTION("""COMPUTED_VALUE"""),"Seed 1")</f>
        <v>Seed 1</v>
      </c>
      <c r="D1" s="2" t="str">
        <f ca="1">IFERROR(__xludf.DUMMYFUNCTION("""COMPUTED_VALUE"""),"Seed 2")</f>
        <v>Seed 2</v>
      </c>
      <c r="E1" s="2" t="str">
        <f ca="1">IFERROR(__xludf.DUMMYFUNCTION("""COMPUTED_VALUE"""),"Seed 3")</f>
        <v>Seed 3</v>
      </c>
      <c r="F1" s="2" t="str">
        <f ca="1">IFERROR(__xludf.DUMMYFUNCTION("""COMPUTED_VALUE"""),"Seed Average")</f>
        <v>Seed Average</v>
      </c>
      <c r="G1" s="2" t="str">
        <f ca="1">IFERROR(__xludf.DUMMYFUNCTION("""COMPUTED_VALUE"""),"Seed Rank")</f>
        <v>Seed Rank</v>
      </c>
      <c r="H1" s="2" t="str">
        <f ca="1">IFERROR(__xludf.DUMMYFUNCTION("""COMPUTED_VALUE"""),"Seed Raw")</f>
        <v>Seed Raw</v>
      </c>
    </row>
    <row r="2" spans="1:8" ht="15.75" customHeight="1">
      <c r="A2" s="18" t="str">
        <f ca="1">IFERROR(__xludf.DUMMYFUNCTION("""COMPUTED_VALUE"""),"Los Altos Community Team")</f>
        <v>Los Altos Community Team</v>
      </c>
      <c r="B2" s="1" t="str">
        <f ca="1">IFERROR(__xludf.DUMMYFUNCTION("""COMPUTED_VALUE"""),"399")</f>
        <v>399</v>
      </c>
      <c r="C2" s="4">
        <f ca="1">IFERROR(__xludf.DUMMYFUNCTION("""COMPUTED_VALUE"""),3025)</f>
        <v>3025</v>
      </c>
      <c r="D2" s="4">
        <f ca="1">IFERROR(__xludf.DUMMYFUNCTION("""COMPUTED_VALUE"""),1241)</f>
        <v>1241</v>
      </c>
      <c r="E2" s="4">
        <f ca="1">IFERROR(__xludf.DUMMYFUNCTION("""COMPUTED_VALUE"""),1131)</f>
        <v>1131</v>
      </c>
      <c r="F2" s="4">
        <f ca="1">IFERROR(__xludf.DUMMYFUNCTION("""COMPUTED_VALUE"""),2133)</f>
        <v>2133</v>
      </c>
      <c r="G2" s="4">
        <f ca="1">IFERROR(__xludf.DUMMYFUNCTION("""COMPUTED_VALUE"""),1)</f>
        <v>1</v>
      </c>
      <c r="H2" s="4">
        <f ca="1">IFERROR(__xludf.DUMMYFUNCTION("""COMPUTED_VALUE"""),0.926280991735537)</f>
        <v>0.92628099173553702</v>
      </c>
    </row>
    <row r="3" spans="1:8" ht="15.75" customHeight="1">
      <c r="A3" s="18" t="str">
        <f ca="1">IFERROR(__xludf.DUMMYFUNCTION("""COMPUTED_VALUE"""),"HTL Wiener Neustadt")</f>
        <v>HTL Wiener Neustadt</v>
      </c>
      <c r="B3" s="1" t="str">
        <f ca="1">IFERROR(__xludf.DUMMYFUNCTION("""COMPUTED_VALUE"""),"606")</f>
        <v>606</v>
      </c>
      <c r="C3" s="4">
        <f ca="1">IFERROR(__xludf.DUMMYFUNCTION("""COMPUTED_VALUE"""),1640)</f>
        <v>1640</v>
      </c>
      <c r="D3" s="4">
        <f ca="1">IFERROR(__xludf.DUMMYFUNCTION("""COMPUTED_VALUE"""),1952)</f>
        <v>1952</v>
      </c>
      <c r="E3" s="4">
        <f ca="1">IFERROR(__xludf.DUMMYFUNCTION("""COMPUTED_VALUE"""),495)</f>
        <v>495</v>
      </c>
      <c r="F3" s="4">
        <f ca="1">IFERROR(__xludf.DUMMYFUNCTION("""COMPUTED_VALUE"""),1796)</f>
        <v>1796</v>
      </c>
      <c r="G3" s="4">
        <f ca="1">IFERROR(__xludf.DUMMYFUNCTION("""COMPUTED_VALUE"""),2)</f>
        <v>2</v>
      </c>
      <c r="H3" s="4">
        <f ca="1">IFERROR(__xludf.DUMMYFUNCTION("""COMPUTED_VALUE"""),0.882804752066115)</f>
        <v>0.88280475206611497</v>
      </c>
    </row>
    <row r="4" spans="1:8" ht="15.75" customHeight="1">
      <c r="A4" s="18" t="str">
        <f ca="1">IFERROR(__xludf.DUMMYFUNCTION("""COMPUTED_VALUE"""),"HTL Wiener Neustadt")</f>
        <v>HTL Wiener Neustadt</v>
      </c>
      <c r="B4" s="1" t="str">
        <f ca="1">IFERROR(__xludf.DUMMYFUNCTION("""COMPUTED_VALUE"""),"188")</f>
        <v>188</v>
      </c>
      <c r="C4" s="4">
        <f ca="1">IFERROR(__xludf.DUMMYFUNCTION("""COMPUTED_VALUE"""),87)</f>
        <v>87</v>
      </c>
      <c r="D4" s="4">
        <f ca="1">IFERROR(__xludf.DUMMYFUNCTION("""COMPUTED_VALUE"""),1338)</f>
        <v>1338</v>
      </c>
      <c r="E4" s="4">
        <f ca="1">IFERROR(__xludf.DUMMYFUNCTION("""COMPUTED_VALUE"""),1207)</f>
        <v>1207</v>
      </c>
      <c r="F4" s="4">
        <f ca="1">IFERROR(__xludf.DUMMYFUNCTION("""COMPUTED_VALUE"""),1272.5)</f>
        <v>1272.5</v>
      </c>
      <c r="G4" s="4">
        <f ca="1">IFERROR(__xludf.DUMMYFUNCTION("""COMPUTED_VALUE"""),3)</f>
        <v>3</v>
      </c>
      <c r="H4" s="4">
        <f ca="1">IFERROR(__xludf.DUMMYFUNCTION("""COMPUTED_VALUE"""),0.823915289256198)</f>
        <v>0.82391528925619795</v>
      </c>
    </row>
    <row r="5" spans="1:8" ht="15.75" customHeight="1">
      <c r="A5" s="18" t="str">
        <f ca="1">IFERROR(__xludf.DUMMYFUNCTION("""COMPUTED_VALUE"""),"Los Altos Community Team")</f>
        <v>Los Altos Community Team</v>
      </c>
      <c r="B5" s="1" t="str">
        <f ca="1">IFERROR(__xludf.DUMMYFUNCTION("""COMPUTED_VALUE"""),"453")</f>
        <v>453</v>
      </c>
      <c r="C5" s="4">
        <f ca="1">IFERROR(__xludf.DUMMYFUNCTION("""COMPUTED_VALUE"""),1334)</f>
        <v>1334</v>
      </c>
      <c r="D5" s="4">
        <f ca="1">IFERROR(__xludf.DUMMYFUNCTION("""COMPUTED_VALUE"""),1209)</f>
        <v>1209</v>
      </c>
      <c r="E5" s="4">
        <f ca="1">IFERROR(__xludf.DUMMYFUNCTION("""COMPUTED_VALUE"""),619)</f>
        <v>619</v>
      </c>
      <c r="F5" s="4">
        <f ca="1">IFERROR(__xludf.DUMMYFUNCTION("""COMPUTED_VALUE"""),1271.5)</f>
        <v>1271.5</v>
      </c>
      <c r="G5" s="4">
        <f ca="1">IFERROR(__xludf.DUMMYFUNCTION("""COMPUTED_VALUE"""),4)</f>
        <v>4</v>
      </c>
      <c r="H5" s="4">
        <f ca="1">IFERROR(__xludf.DUMMYFUNCTION("""COMPUTED_VALUE"""),0.808207644628099)</f>
        <v>0.80820764462809902</v>
      </c>
    </row>
    <row r="6" spans="1:8" ht="15.75" customHeight="1">
      <c r="A6" s="18" t="str">
        <f ca="1">IFERROR(__xludf.DUMMYFUNCTION("""COMPUTED_VALUE"""),"HTL St. Pölten")</f>
        <v>HTL St. Pölten</v>
      </c>
      <c r="B6" s="1" t="str">
        <f ca="1">IFERROR(__xludf.DUMMYFUNCTION("""COMPUTED_VALUE"""),"635")</f>
        <v>635</v>
      </c>
      <c r="C6" s="4">
        <f ca="1">IFERROR(__xludf.DUMMYFUNCTION("""COMPUTED_VALUE"""),511)</f>
        <v>511</v>
      </c>
      <c r="D6" s="4">
        <f ca="1">IFERROR(__xludf.DUMMYFUNCTION("""COMPUTED_VALUE"""),881)</f>
        <v>881</v>
      </c>
      <c r="E6" s="4">
        <f ca="1">IFERROR(__xludf.DUMMYFUNCTION("""COMPUTED_VALUE"""),1280)</f>
        <v>1280</v>
      </c>
      <c r="F6" s="4">
        <f ca="1">IFERROR(__xludf.DUMMYFUNCTION("""COMPUTED_VALUE"""),1080.5)</f>
        <v>1080.5</v>
      </c>
      <c r="G6" s="4">
        <f ca="1">IFERROR(__xludf.DUMMYFUNCTION("""COMPUTED_VALUE"""),5)</f>
        <v>5</v>
      </c>
      <c r="H6" s="4">
        <f ca="1">IFERROR(__xludf.DUMMYFUNCTION("""COMPUTED_VALUE"""),0.776797520661157)</f>
        <v>0.77679752066115704</v>
      </c>
    </row>
    <row r="7" spans="1:8" ht="15.75" customHeight="1">
      <c r="A7" s="18" t="str">
        <f ca="1">IFERROR(__xludf.DUMMYFUNCTION("""COMPUTED_VALUE"""),"Beijing International Bilingual School-Titan")</f>
        <v>Beijing International Bilingual School-Titan</v>
      </c>
      <c r="B7" s="1" t="str">
        <f ca="1">IFERROR(__xludf.DUMMYFUNCTION("""COMPUTED_VALUE"""),"663")</f>
        <v>663</v>
      </c>
      <c r="C7" s="4">
        <f ca="1">IFERROR(__xludf.DUMMYFUNCTION("""COMPUTED_VALUE"""),958)</f>
        <v>958</v>
      </c>
      <c r="D7" s="4">
        <f ca="1">IFERROR(__xludf.DUMMYFUNCTION("""COMPUTED_VALUE"""),15)</f>
        <v>15</v>
      </c>
      <c r="E7" s="4">
        <f ca="1">IFERROR(__xludf.DUMMYFUNCTION("""COMPUTED_VALUE"""),837)</f>
        <v>837</v>
      </c>
      <c r="F7" s="4">
        <f ca="1">IFERROR(__xludf.DUMMYFUNCTION("""COMPUTED_VALUE"""),897.5)</f>
        <v>897.5</v>
      </c>
      <c r="G7" s="4">
        <f ca="1">IFERROR(__xludf.DUMMYFUNCTION("""COMPUTED_VALUE"""),6)</f>
        <v>6</v>
      </c>
      <c r="H7" s="4">
        <f ca="1">IFERROR(__xludf.DUMMYFUNCTION("""COMPUTED_VALUE"""),0.746048553719008)</f>
        <v>0.74604855371900802</v>
      </c>
    </row>
    <row r="8" spans="1:8" ht="15.75" customHeight="1">
      <c r="A8" s="18" t="str">
        <f ca="1">IFERROR(__xludf.DUMMYFUNCTION("""COMPUTED_VALUE"""),"PUI CHING MIDDLE SCHOOL")</f>
        <v>PUI CHING MIDDLE SCHOOL</v>
      </c>
      <c r="B8" s="1" t="str">
        <f ca="1">IFERROR(__xludf.DUMMYFUNCTION("""COMPUTED_VALUE"""),"665")</f>
        <v>665</v>
      </c>
      <c r="C8" s="4">
        <f ca="1">IFERROR(__xludf.DUMMYFUNCTION("""COMPUTED_VALUE"""),313)</f>
        <v>313</v>
      </c>
      <c r="D8" s="4">
        <f ca="1">IFERROR(__xludf.DUMMYFUNCTION("""COMPUTED_VALUE"""),669)</f>
        <v>669</v>
      </c>
      <c r="E8" s="4">
        <f ca="1">IFERROR(__xludf.DUMMYFUNCTION("""COMPUTED_VALUE"""),729)</f>
        <v>729</v>
      </c>
      <c r="F8" s="4">
        <f ca="1">IFERROR(__xludf.DUMMYFUNCTION("""COMPUTED_VALUE"""),699)</f>
        <v>699</v>
      </c>
      <c r="G8" s="4">
        <f ca="1">IFERROR(__xludf.DUMMYFUNCTION("""COMPUTED_VALUE"""),7)</f>
        <v>7</v>
      </c>
      <c r="H8" s="4">
        <f ca="1">IFERROR(__xludf.DUMMYFUNCTION("""COMPUTED_VALUE"""),0.714018595041322)</f>
        <v>0.71401859504132204</v>
      </c>
    </row>
    <row r="9" spans="1:8" ht="15.75" customHeight="1">
      <c r="A9" s="18" t="str">
        <f ca="1">IFERROR(__xludf.DUMMYFUNCTION("""COMPUTED_VALUE"""),"Radiant Robotics - Irvine")</f>
        <v>Radiant Robotics - Irvine</v>
      </c>
      <c r="B9" s="1" t="str">
        <f ca="1">IFERROR(__xludf.DUMMYFUNCTION("""COMPUTED_VALUE"""),"927")</f>
        <v>927</v>
      </c>
      <c r="C9" s="4">
        <f ca="1">IFERROR(__xludf.DUMMYFUNCTION("""COMPUTED_VALUE"""),193)</f>
        <v>193</v>
      </c>
      <c r="D9" s="4">
        <f ca="1">IFERROR(__xludf.DUMMYFUNCTION("""COMPUTED_VALUE"""),157)</f>
        <v>157</v>
      </c>
      <c r="E9" s="4">
        <f ca="1">IFERROR(__xludf.DUMMYFUNCTION("""COMPUTED_VALUE"""),955)</f>
        <v>955</v>
      </c>
      <c r="F9" s="4">
        <f ca="1">IFERROR(__xludf.DUMMYFUNCTION("""COMPUTED_VALUE"""),574)</f>
        <v>574</v>
      </c>
      <c r="G9" s="4">
        <f ca="1">IFERROR(__xludf.DUMMYFUNCTION("""COMPUTED_VALUE"""),8)</f>
        <v>8</v>
      </c>
      <c r="H9" s="4">
        <f ca="1">IFERROR(__xludf.DUMMYFUNCTION("""COMPUTED_VALUE"""),0.688063016528925)</f>
        <v>0.68806301652892499</v>
      </c>
    </row>
    <row r="10" spans="1:8" ht="15.75" customHeight="1">
      <c r="A10" s="18" t="str">
        <f ca="1">IFERROR(__xludf.DUMMYFUNCTION("""COMPUTED_VALUE"""),"Noble High School")</f>
        <v>Noble High School</v>
      </c>
      <c r="B10" s="1" t="str">
        <f ca="1">IFERROR(__xludf.DUMMYFUNCTION("""COMPUTED_VALUE"""),"468")</f>
        <v>468</v>
      </c>
      <c r="C10" s="4">
        <f ca="1">IFERROR(__xludf.DUMMYFUNCTION("""COMPUTED_VALUE"""),394)</f>
        <v>394</v>
      </c>
      <c r="D10" s="4">
        <f ca="1">IFERROR(__xludf.DUMMYFUNCTION("""COMPUTED_VALUE"""),103)</f>
        <v>103</v>
      </c>
      <c r="E10" s="4">
        <f ca="1">IFERROR(__xludf.DUMMYFUNCTION("""COMPUTED_VALUE"""),501)</f>
        <v>501</v>
      </c>
      <c r="F10" s="4">
        <f ca="1">IFERROR(__xludf.DUMMYFUNCTION("""COMPUTED_VALUE"""),447.5)</f>
        <v>447.5</v>
      </c>
      <c r="G10" s="4">
        <f ca="1">IFERROR(__xludf.DUMMYFUNCTION("""COMPUTED_VALUE"""),9)</f>
        <v>9</v>
      </c>
      <c r="H10" s="4">
        <f ca="1">IFERROR(__xludf.DUMMYFUNCTION("""COMPUTED_VALUE"""),0.66198347107438)</f>
        <v>0.66198347107438005</v>
      </c>
    </row>
    <row r="11" spans="1:8" ht="15.75" customHeight="1">
      <c r="A11" s="18" t="str">
        <f ca="1">IFERROR(__xludf.DUMMYFUNCTION("""COMPUTED_VALUE"""),"Beijing International Bilingual School-Unicorn")</f>
        <v>Beijing International Bilingual School-Unicorn</v>
      </c>
      <c r="B11" s="1" t="str">
        <f ca="1">IFERROR(__xludf.DUMMYFUNCTION("""COMPUTED_VALUE"""),"662")</f>
        <v>662</v>
      </c>
      <c r="C11" s="4">
        <f ca="1">IFERROR(__xludf.DUMMYFUNCTION("""COMPUTED_VALUE"""),110)</f>
        <v>110</v>
      </c>
      <c r="D11" s="4">
        <f ca="1">IFERROR(__xludf.DUMMYFUNCTION("""COMPUTED_VALUE"""),779)</f>
        <v>779</v>
      </c>
      <c r="E11" s="4">
        <f ca="1">IFERROR(__xludf.DUMMYFUNCTION("""COMPUTED_VALUE"""),0)</f>
        <v>0</v>
      </c>
      <c r="F11" s="4">
        <f ca="1">IFERROR(__xludf.DUMMYFUNCTION("""COMPUTED_VALUE"""),444.5)</f>
        <v>444.5</v>
      </c>
      <c r="G11" s="4">
        <f ca="1">IFERROR(__xludf.DUMMYFUNCTION("""COMPUTED_VALUE"""),10)</f>
        <v>10</v>
      </c>
      <c r="H11" s="4">
        <f ca="1">IFERROR(__xludf.DUMMYFUNCTION("""COMPUTED_VALUE"""),0.646110537190082)</f>
        <v>0.64611053719008205</v>
      </c>
    </row>
    <row r="12" spans="1:8" ht="15.75" customHeight="1">
      <c r="A12" s="18" t="str">
        <f ca="1">IFERROR(__xludf.DUMMYFUNCTION("""COMPUTED_VALUE"""),"Westchester Academy for International Studies")</f>
        <v>Westchester Academy for International Studies</v>
      </c>
      <c r="B12" s="1" t="str">
        <f ca="1">IFERROR(__xludf.DUMMYFUNCTION("""COMPUTED_VALUE"""),"840")</f>
        <v>840</v>
      </c>
      <c r="C12" s="4">
        <f ca="1">IFERROR(__xludf.DUMMYFUNCTION("""COMPUTED_VALUE"""),450)</f>
        <v>450</v>
      </c>
      <c r="D12" s="4">
        <f ca="1">IFERROR(__xludf.DUMMYFUNCTION("""COMPUTED_VALUE"""),166)</f>
        <v>166</v>
      </c>
      <c r="E12" s="4">
        <f ca="1">IFERROR(__xludf.DUMMYFUNCTION("""COMPUTED_VALUE"""),315)</f>
        <v>315</v>
      </c>
      <c r="F12" s="4">
        <f ca="1">IFERROR(__xludf.DUMMYFUNCTION("""COMPUTED_VALUE"""),382.5)</f>
        <v>382.5</v>
      </c>
      <c r="G12" s="4">
        <f ca="1">IFERROR(__xludf.DUMMYFUNCTION("""COMPUTED_VALUE"""),11)</f>
        <v>11</v>
      </c>
      <c r="H12" s="4">
        <f ca="1">IFERROR(__xludf.DUMMYFUNCTION("""COMPUTED_VALUE"""),0.625361570247933)</f>
        <v>0.62536157024793304</v>
      </c>
    </row>
    <row r="13" spans="1:8" ht="15.75" customHeight="1">
      <c r="A13" s="18" t="str">
        <f ca="1">IFERROR(__xludf.DUMMYFUNCTION("""COMPUTED_VALUE"""),"Los Altos Community Team - Moonkeys")</f>
        <v>Los Altos Community Team - Moonkeys</v>
      </c>
      <c r="B13" s="1" t="str">
        <f ca="1">IFERROR(__xludf.DUMMYFUNCTION("""COMPUTED_VALUE"""),"329")</f>
        <v>329</v>
      </c>
      <c r="C13" s="4">
        <f ca="1">IFERROR(__xludf.DUMMYFUNCTION("""COMPUTED_VALUE"""),397)</f>
        <v>397</v>
      </c>
      <c r="D13" s="4">
        <f ca="1">IFERROR(__xludf.DUMMYFUNCTION("""COMPUTED_VALUE"""),362)</f>
        <v>362</v>
      </c>
      <c r="E13" s="4">
        <f ca="1">IFERROR(__xludf.DUMMYFUNCTION("""COMPUTED_VALUE"""),279)</f>
        <v>279</v>
      </c>
      <c r="F13" s="4">
        <f ca="1">IFERROR(__xludf.DUMMYFUNCTION("""COMPUTED_VALUE"""),379.5)</f>
        <v>379.5</v>
      </c>
      <c r="G13" s="4">
        <f ca="1">IFERROR(__xludf.DUMMYFUNCTION("""COMPUTED_VALUE"""),12)</f>
        <v>12</v>
      </c>
      <c r="H13" s="4">
        <f ca="1">IFERROR(__xludf.DUMMYFUNCTION("""COMPUTED_VALUE"""),0.609488636363636)</f>
        <v>0.60948863636363604</v>
      </c>
    </row>
    <row r="14" spans="1:8" ht="15.75" customHeight="1">
      <c r="A14" s="18" t="str">
        <f ca="1">IFERROR(__xludf.DUMMYFUNCTION("""COMPUTED_VALUE"""),"Malden Catholic High School - James Bond")</f>
        <v>Malden Catholic High School - James Bond</v>
      </c>
      <c r="B14" s="1" t="str">
        <f ca="1">IFERROR(__xludf.DUMMYFUNCTION("""COMPUTED_VALUE"""),"7")</f>
        <v>7</v>
      </c>
      <c r="C14" s="4">
        <f ca="1">IFERROR(__xludf.DUMMYFUNCTION("""COMPUTED_VALUE"""),167)</f>
        <v>167</v>
      </c>
      <c r="D14" s="4">
        <f ca="1">IFERROR(__xludf.DUMMYFUNCTION("""COMPUTED_VALUE"""),477)</f>
        <v>477</v>
      </c>
      <c r="E14" s="4">
        <f ca="1">IFERROR(__xludf.DUMMYFUNCTION("""COMPUTED_VALUE"""),208)</f>
        <v>208</v>
      </c>
      <c r="F14" s="4">
        <f ca="1">IFERROR(__xludf.DUMMYFUNCTION("""COMPUTED_VALUE"""),342.5)</f>
        <v>342.5</v>
      </c>
      <c r="G14" s="4">
        <f ca="1">IFERROR(__xludf.DUMMYFUNCTION("""COMPUTED_VALUE"""),13)</f>
        <v>13</v>
      </c>
      <c r="H14" s="4">
        <f ca="1">IFERROR(__xludf.DUMMYFUNCTION("""COMPUTED_VALUE"""),0.590805785123967)</f>
        <v>0.59080578512396698</v>
      </c>
    </row>
    <row r="15" spans="1:8" ht="15.75" customHeight="1">
      <c r="A15" s="18" t="str">
        <f ca="1">IFERROR(__xludf.DUMMYFUNCTION("""COMPUTED_VALUE"""),"HTL Wien West")</f>
        <v>HTL Wien West</v>
      </c>
      <c r="B15" s="1" t="str">
        <f ca="1">IFERROR(__xludf.DUMMYFUNCTION("""COMPUTED_VALUE"""),"623")</f>
        <v>623</v>
      </c>
      <c r="C15" s="4">
        <f ca="1">IFERROR(__xludf.DUMMYFUNCTION("""COMPUTED_VALUE"""),503)</f>
        <v>503</v>
      </c>
      <c r="D15" s="4">
        <f ca="1">IFERROR(__xludf.DUMMYFUNCTION("""COMPUTED_VALUE"""),37)</f>
        <v>37</v>
      </c>
      <c r="E15" s="4">
        <f ca="1">IFERROR(__xludf.DUMMYFUNCTION("""COMPUTED_VALUE"""),23)</f>
        <v>23</v>
      </c>
      <c r="F15" s="4">
        <f ca="1">IFERROR(__xludf.DUMMYFUNCTION("""COMPUTED_VALUE"""),270)</f>
        <v>270</v>
      </c>
      <c r="G15" s="4">
        <f ca="1">IFERROR(__xludf.DUMMYFUNCTION("""COMPUTED_VALUE"""),14)</f>
        <v>14</v>
      </c>
      <c r="H15" s="4">
        <f ca="1">IFERROR(__xludf.DUMMYFUNCTION("""COMPUTED_VALUE"""),0.569189049586776)</f>
        <v>0.56918904958677596</v>
      </c>
    </row>
    <row r="16" spans="1:8" ht="15.75" customHeight="1">
      <c r="A16" s="18" t="str">
        <f ca="1">IFERROR(__xludf.DUMMYFUNCTION("""COMPUTED_VALUE"""),"Colonial Botball")</f>
        <v>Colonial Botball</v>
      </c>
      <c r="B16" s="1" t="str">
        <f ca="1">IFERROR(__xludf.DUMMYFUNCTION("""COMPUTED_VALUE"""),"141")</f>
        <v>141</v>
      </c>
      <c r="C16" s="4">
        <f ca="1">IFERROR(__xludf.DUMMYFUNCTION("""COMPUTED_VALUE"""),263)</f>
        <v>263</v>
      </c>
      <c r="D16" s="4">
        <f ca="1">IFERROR(__xludf.DUMMYFUNCTION("""COMPUTED_VALUE"""),146)</f>
        <v>146</v>
      </c>
      <c r="E16" s="4">
        <f ca="1">IFERROR(__xludf.DUMMYFUNCTION("""COMPUTED_VALUE"""),249)</f>
        <v>249</v>
      </c>
      <c r="F16" s="4">
        <f ca="1">IFERROR(__xludf.DUMMYFUNCTION("""COMPUTED_VALUE"""),256)</f>
        <v>256</v>
      </c>
      <c r="G16" s="4">
        <f ca="1">IFERROR(__xludf.DUMMYFUNCTION("""COMPUTED_VALUE"""),15)</f>
        <v>15</v>
      </c>
      <c r="H16" s="4">
        <f ca="1">IFERROR(__xludf.DUMMYFUNCTION("""COMPUTED_VALUE"""),0.552407024793388)</f>
        <v>0.55240702479338799</v>
      </c>
    </row>
    <row r="17" spans="1:8" ht="15.75" customHeight="1">
      <c r="A17" s="18" t="str">
        <f ca="1">IFERROR(__xludf.DUMMYFUNCTION("""COMPUTED_VALUE"""),"Noble High School")</f>
        <v>Noble High School</v>
      </c>
      <c r="B17" s="1" t="str">
        <f ca="1">IFERROR(__xludf.DUMMYFUNCTION("""COMPUTED_VALUE"""),"720")</f>
        <v>720</v>
      </c>
      <c r="C17" s="4">
        <f ca="1">IFERROR(__xludf.DUMMYFUNCTION("""COMPUTED_VALUE"""),70)</f>
        <v>70</v>
      </c>
      <c r="D17" s="4">
        <f ca="1">IFERROR(__xludf.DUMMYFUNCTION("""COMPUTED_VALUE"""),294)</f>
        <v>294</v>
      </c>
      <c r="E17" s="4">
        <f ca="1">IFERROR(__xludf.DUMMYFUNCTION("""COMPUTED_VALUE"""),170)</f>
        <v>170</v>
      </c>
      <c r="F17" s="4">
        <f ca="1">IFERROR(__xludf.DUMMYFUNCTION("""COMPUTED_VALUE"""),232)</f>
        <v>232</v>
      </c>
      <c r="G17" s="4">
        <f ca="1">IFERROR(__xludf.DUMMYFUNCTION("""COMPUTED_VALUE"""),16)</f>
        <v>16</v>
      </c>
      <c r="H17" s="4">
        <f ca="1">IFERROR(__xludf.DUMMYFUNCTION("""COMPUTED_VALUE"""),0.534798553719008)</f>
        <v>0.53479855371900797</v>
      </c>
    </row>
    <row r="18" spans="1:8" ht="15.75" customHeight="1">
      <c r="A18" s="18" t="str">
        <f ca="1">IFERROR(__xludf.DUMMYFUNCTION("""COMPUTED_VALUE"""),"Radiant Robotics - Boom")</f>
        <v>Radiant Robotics - Boom</v>
      </c>
      <c r="B18" s="1" t="str">
        <f ca="1">IFERROR(__xludf.DUMMYFUNCTION("""COMPUTED_VALUE"""),"926")</f>
        <v>926</v>
      </c>
      <c r="C18" s="4">
        <f ca="1">IFERROR(__xludf.DUMMYFUNCTION("""COMPUTED_VALUE"""),17)</f>
        <v>17</v>
      </c>
      <c r="D18" s="4">
        <f ca="1">IFERROR(__xludf.DUMMYFUNCTION("""COMPUTED_VALUE"""),180)</f>
        <v>180</v>
      </c>
      <c r="E18" s="4">
        <f ca="1">IFERROR(__xludf.DUMMYFUNCTION("""COMPUTED_VALUE"""),212)</f>
        <v>212</v>
      </c>
      <c r="F18" s="4">
        <f ca="1">IFERROR(__xludf.DUMMYFUNCTION("""COMPUTED_VALUE"""),196)</f>
        <v>196</v>
      </c>
      <c r="G18" s="4">
        <f ca="1">IFERROR(__xludf.DUMMYFUNCTION("""COMPUTED_VALUE"""),17)</f>
        <v>17</v>
      </c>
      <c r="H18" s="4">
        <f ca="1">IFERROR(__xludf.DUMMYFUNCTION("""COMPUTED_VALUE"""),0.516198347107438)</f>
        <v>0.51619834710743795</v>
      </c>
    </row>
    <row r="19" spans="1:8" ht="15.75" customHeight="1">
      <c r="A19" s="18" t="str">
        <f ca="1">IFERROR(__xludf.DUMMYFUNCTION("""COMPUTED_VALUE"""),"Rhoades")</f>
        <v>Rhoades</v>
      </c>
      <c r="B19" s="1" t="str">
        <f ca="1">IFERROR(__xludf.DUMMYFUNCTION("""COMPUTED_VALUE"""),"340")</f>
        <v>340</v>
      </c>
      <c r="C19" s="4">
        <f ca="1">IFERROR(__xludf.DUMMYFUNCTION("""COMPUTED_VALUE"""),170)</f>
        <v>170</v>
      </c>
      <c r="D19" s="4">
        <f ca="1">IFERROR(__xludf.DUMMYFUNCTION("""COMPUTED_VALUE"""),15)</f>
        <v>15</v>
      </c>
      <c r="E19" s="4">
        <f ca="1">IFERROR(__xludf.DUMMYFUNCTION("""COMPUTED_VALUE"""),207)</f>
        <v>207</v>
      </c>
      <c r="F19" s="4">
        <f ca="1">IFERROR(__xludf.DUMMYFUNCTION("""COMPUTED_VALUE"""),188.5)</f>
        <v>188.5</v>
      </c>
      <c r="G19" s="4">
        <f ca="1">IFERROR(__xludf.DUMMYFUNCTION("""COMPUTED_VALUE"""),18)</f>
        <v>18</v>
      </c>
      <c r="H19" s="4">
        <f ca="1">IFERROR(__xludf.DUMMYFUNCTION("""COMPUTED_VALUE"""),0.499953512396694)</f>
        <v>0.499953512396694</v>
      </c>
    </row>
    <row r="20" spans="1:8" ht="15.75" customHeight="1">
      <c r="A20" s="18" t="str">
        <f ca="1">IFERROR(__xludf.DUMMYFUNCTION("""COMPUTED_VALUE"""),"Jerome High School - Frog Fleet")</f>
        <v>Jerome High School - Frog Fleet</v>
      </c>
      <c r="B20" s="1" t="str">
        <f ca="1">IFERROR(__xludf.DUMMYFUNCTION("""COMPUTED_VALUE"""),"822")</f>
        <v>822</v>
      </c>
      <c r="C20" s="4">
        <f ca="1">IFERROR(__xludf.DUMMYFUNCTION("""COMPUTED_VALUE"""),229)</f>
        <v>229</v>
      </c>
      <c r="D20" s="4">
        <f ca="1">IFERROR(__xludf.DUMMYFUNCTION("""COMPUTED_VALUE"""),70)</f>
        <v>70</v>
      </c>
      <c r="E20" s="4">
        <f ca="1">IFERROR(__xludf.DUMMYFUNCTION("""COMPUTED_VALUE"""),13)</f>
        <v>13</v>
      </c>
      <c r="F20" s="4">
        <f ca="1">IFERROR(__xludf.DUMMYFUNCTION("""COMPUTED_VALUE"""),149.5)</f>
        <v>149.5</v>
      </c>
      <c r="G20" s="4">
        <f ca="1">IFERROR(__xludf.DUMMYFUNCTION("""COMPUTED_VALUE"""),19)</f>
        <v>19</v>
      </c>
      <c r="H20" s="4">
        <f ca="1">IFERROR(__xludf.DUMMYFUNCTION("""COMPUTED_VALUE"""),0.481105371900826)</f>
        <v>0.48110537190082597</v>
      </c>
    </row>
    <row r="21" spans="1:8" ht="15.75" customHeight="1">
      <c r="A21" s="18" t="str">
        <f ca="1">IFERROR(__xludf.DUMMYFUNCTION("""COMPUTED_VALUE"""),"Noble Public Schools")</f>
        <v>Noble Public Schools</v>
      </c>
      <c r="B21" s="1" t="str">
        <f ca="1">IFERROR(__xludf.DUMMYFUNCTION("""COMPUTED_VALUE"""),"928")</f>
        <v>928</v>
      </c>
      <c r="C21" s="4">
        <f ca="1">IFERROR(__xludf.DUMMYFUNCTION("""COMPUTED_VALUE"""),86)</f>
        <v>86</v>
      </c>
      <c r="D21" s="4">
        <f ca="1">IFERROR(__xludf.DUMMYFUNCTION("""COMPUTED_VALUE"""),204)</f>
        <v>204</v>
      </c>
      <c r="E21" s="4">
        <f ca="1">IFERROR(__xludf.DUMMYFUNCTION("""COMPUTED_VALUE"""),44)</f>
        <v>44</v>
      </c>
      <c r="F21" s="4">
        <f ca="1">IFERROR(__xludf.DUMMYFUNCTION("""COMPUTED_VALUE"""),145)</f>
        <v>145</v>
      </c>
      <c r="G21" s="4">
        <f ca="1">IFERROR(__xludf.DUMMYFUNCTION("""COMPUTED_VALUE"""),20)</f>
        <v>20</v>
      </c>
      <c r="H21" s="4">
        <f ca="1">IFERROR(__xludf.DUMMYFUNCTION("""COMPUTED_VALUE"""),0.46510847107438)</f>
        <v>0.46510847107438003</v>
      </c>
    </row>
    <row r="22" spans="1:8" ht="15.75" customHeight="1">
      <c r="A22" s="18" t="str">
        <f ca="1">IFERROR(__xludf.DUMMYFUNCTION("""COMPUTED_VALUE"""),"Tucumcari")</f>
        <v>Tucumcari</v>
      </c>
      <c r="B22" s="1" t="str">
        <f ca="1">IFERROR(__xludf.DUMMYFUNCTION("""COMPUTED_VALUE"""),"805")</f>
        <v>805</v>
      </c>
      <c r="C22" s="4">
        <f ca="1">IFERROR(__xludf.DUMMYFUNCTION("""COMPUTED_VALUE"""),59)</f>
        <v>59</v>
      </c>
      <c r="D22" s="4">
        <f ca="1">IFERROR(__xludf.DUMMYFUNCTION("""COMPUTED_VALUE"""),220)</f>
        <v>220</v>
      </c>
      <c r="E22" s="4">
        <f ca="1">IFERROR(__xludf.DUMMYFUNCTION("""COMPUTED_VALUE"""),50)</f>
        <v>50</v>
      </c>
      <c r="F22" s="4">
        <f ca="1">IFERROR(__xludf.DUMMYFUNCTION("""COMPUTED_VALUE"""),139.5)</f>
        <v>139.5</v>
      </c>
      <c r="G22" s="4">
        <f ca="1">IFERROR(__xludf.DUMMYFUNCTION("""COMPUTED_VALUE"""),21)</f>
        <v>21</v>
      </c>
      <c r="H22" s="4">
        <f ca="1">IFERROR(__xludf.DUMMYFUNCTION("""COMPUTED_VALUE"""),0.449028925619834)</f>
        <v>0.44902892561983399</v>
      </c>
    </row>
    <row r="23" spans="1:8" ht="15.75" customHeight="1">
      <c r="A23" s="18" t="str">
        <f ca="1">IFERROR(__xludf.DUMMYFUNCTION("""COMPUTED_VALUE"""),"Galileo STEM Academy")</f>
        <v>Galileo STEM Academy</v>
      </c>
      <c r="B23" s="1" t="str">
        <f ca="1">IFERROR(__xludf.DUMMYFUNCTION("""COMPUTED_VALUE"""),"700")</f>
        <v>700</v>
      </c>
      <c r="C23" s="4">
        <f ca="1">IFERROR(__xludf.DUMMYFUNCTION("""COMPUTED_VALUE"""),142)</f>
        <v>142</v>
      </c>
      <c r="D23" s="4">
        <f ca="1">IFERROR(__xludf.DUMMYFUNCTION("""COMPUTED_VALUE"""),127)</f>
        <v>127</v>
      </c>
      <c r="E23" s="4">
        <f ca="1">IFERROR(__xludf.DUMMYFUNCTION("""COMPUTED_VALUE"""),53)</f>
        <v>53</v>
      </c>
      <c r="F23" s="4">
        <f ca="1">IFERROR(__xludf.DUMMYFUNCTION("""COMPUTED_VALUE"""),134.5)</f>
        <v>134.5</v>
      </c>
      <c r="G23" s="4">
        <f ca="1">IFERROR(__xludf.DUMMYFUNCTION("""COMPUTED_VALUE"""),22)</f>
        <v>22</v>
      </c>
      <c r="H23" s="4">
        <f ca="1">IFERROR(__xludf.DUMMYFUNCTION("""COMPUTED_VALUE"""),0.432990702479338)</f>
        <v>0.43299070247933802</v>
      </c>
    </row>
    <row r="24" spans="1:8" ht="15.75" customHeight="1">
      <c r="A24" s="18" t="str">
        <f ca="1">IFERROR(__xludf.DUMMYFUNCTION("""COMPUTED_VALUE"""),"Stratford")</f>
        <v>Stratford</v>
      </c>
      <c r="B24" s="1" t="str">
        <f ca="1">IFERROR(__xludf.DUMMYFUNCTION("""COMPUTED_VALUE"""),"828")</f>
        <v>828</v>
      </c>
      <c r="C24" s="4">
        <f ca="1">IFERROR(__xludf.DUMMYFUNCTION("""COMPUTED_VALUE"""),56)</f>
        <v>56</v>
      </c>
      <c r="D24" s="4">
        <f ca="1">IFERROR(__xludf.DUMMYFUNCTION("""COMPUTED_VALUE"""),175)</f>
        <v>175</v>
      </c>
      <c r="E24" s="4">
        <f ca="1">IFERROR(__xludf.DUMMYFUNCTION("""COMPUTED_VALUE"""),68)</f>
        <v>68</v>
      </c>
      <c r="F24" s="4">
        <f ca="1">IFERROR(__xludf.DUMMYFUNCTION("""COMPUTED_VALUE"""),121.5)</f>
        <v>121.5</v>
      </c>
      <c r="G24" s="4">
        <f ca="1">IFERROR(__xludf.DUMMYFUNCTION("""COMPUTED_VALUE"""),23)</f>
        <v>23</v>
      </c>
      <c r="H24" s="4">
        <f ca="1">IFERROR(__xludf.DUMMYFUNCTION("""COMPUTED_VALUE"""),0.416291322314049)</f>
        <v>0.41629132231404897</v>
      </c>
    </row>
    <row r="25" spans="1:8" ht="16.8">
      <c r="A25" s="18" t="str">
        <f ca="1">IFERROR(__xludf.DUMMYFUNCTION("""COMPUTED_VALUE"""),"Dead Robot Society")</f>
        <v>Dead Robot Society</v>
      </c>
      <c r="B25" s="1" t="str">
        <f ca="1">IFERROR(__xludf.DUMMYFUNCTION("""COMPUTED_VALUE"""),"6")</f>
        <v>6</v>
      </c>
      <c r="C25" s="4">
        <f ca="1">IFERROR(__xludf.DUMMYFUNCTION("""COMPUTED_VALUE"""),27)</f>
        <v>27</v>
      </c>
      <c r="D25" s="4">
        <f ca="1">IFERROR(__xludf.DUMMYFUNCTION("""COMPUTED_VALUE"""),145)</f>
        <v>145</v>
      </c>
      <c r="E25" s="4">
        <f ca="1">IFERROR(__xludf.DUMMYFUNCTION("""COMPUTED_VALUE"""),80)</f>
        <v>80</v>
      </c>
      <c r="F25" s="4">
        <f ca="1">IFERROR(__xludf.DUMMYFUNCTION("""COMPUTED_VALUE"""),112.5)</f>
        <v>112.5</v>
      </c>
      <c r="G25" s="4">
        <f ca="1">IFERROR(__xludf.DUMMYFUNCTION("""COMPUTED_VALUE"""),24)</f>
        <v>24</v>
      </c>
      <c r="H25" s="4">
        <f ca="1">IFERROR(__xludf.DUMMYFUNCTION("""COMPUTED_VALUE"""),0.399922520661157)</f>
        <v>0.39992252066115702</v>
      </c>
    </row>
    <row r="26" spans="1:8" ht="16.8">
      <c r="A26" s="18" t="str">
        <f ca="1">IFERROR(__xludf.DUMMYFUNCTION("""COMPUTED_VALUE"""),"Westchester Academy for International Studies")</f>
        <v>Westchester Academy for International Studies</v>
      </c>
      <c r="B26" s="1" t="str">
        <f ca="1">IFERROR(__xludf.DUMMYFUNCTION("""COMPUTED_VALUE"""),"151")</f>
        <v>151</v>
      </c>
      <c r="C26" s="4">
        <f ca="1">IFERROR(__xludf.DUMMYFUNCTION("""COMPUTED_VALUE"""),135)</f>
        <v>135</v>
      </c>
      <c r="D26" s="4">
        <f ca="1">IFERROR(__xludf.DUMMYFUNCTION("""COMPUTED_VALUE"""),60)</f>
        <v>60</v>
      </c>
      <c r="E26" s="4">
        <f ca="1">IFERROR(__xludf.DUMMYFUNCTION("""COMPUTED_VALUE"""),47)</f>
        <v>47</v>
      </c>
      <c r="F26" s="4">
        <f ca="1">IFERROR(__xludf.DUMMYFUNCTION("""COMPUTED_VALUE"""),97.5)</f>
        <v>97.5</v>
      </c>
      <c r="G26" s="4">
        <f ca="1">IFERROR(__xludf.DUMMYFUNCTION("""COMPUTED_VALUE"""),25)</f>
        <v>25</v>
      </c>
      <c r="H26" s="4">
        <f ca="1">IFERROR(__xludf.DUMMYFUNCTION("""COMPUTED_VALUE"""),0.383057851239669)</f>
        <v>0.38305785123966901</v>
      </c>
    </row>
    <row r="27" spans="1:8" ht="16.8">
      <c r="A27" s="18" t="str">
        <f ca="1">IFERROR(__xludf.DUMMYFUNCTION("""COMPUTED_VALUE"""),"1010 Post Explorer")</f>
        <v>1010 Post Explorer</v>
      </c>
      <c r="B27" s="1" t="str">
        <f ca="1">IFERROR(__xludf.DUMMYFUNCTION("""COMPUTED_VALUE"""),"160")</f>
        <v>160</v>
      </c>
      <c r="C27" s="4">
        <f ca="1">IFERROR(__xludf.DUMMYFUNCTION("""COMPUTED_VALUE"""),55)</f>
        <v>55</v>
      </c>
      <c r="D27" s="4">
        <f ca="1">IFERROR(__xludf.DUMMYFUNCTION("""COMPUTED_VALUE"""),72)</f>
        <v>72</v>
      </c>
      <c r="E27" s="4">
        <f ca="1">IFERROR(__xludf.DUMMYFUNCTION("""COMPUTED_VALUE"""),117)</f>
        <v>117</v>
      </c>
      <c r="F27" s="4">
        <f ca="1">IFERROR(__xludf.DUMMYFUNCTION("""COMPUTED_VALUE"""),94.5)</f>
        <v>94.5</v>
      </c>
      <c r="G27" s="4">
        <f ca="1">IFERROR(__xludf.DUMMYFUNCTION("""COMPUTED_VALUE"""),26)</f>
        <v>26</v>
      </c>
      <c r="H27" s="4">
        <f ca="1">IFERROR(__xludf.DUMMYFUNCTION("""COMPUTED_VALUE"""),0.367184917355371)</f>
        <v>0.36718491735537101</v>
      </c>
    </row>
    <row r="28" spans="1:8" ht="16.8">
      <c r="A28" s="18" t="str">
        <f ca="1">IFERROR(__xludf.DUMMYFUNCTION("""COMPUTED_VALUE"""),"Radiant Robotics - Arcadia")</f>
        <v>Radiant Robotics - Arcadia</v>
      </c>
      <c r="B28" s="1" t="str">
        <f ca="1">IFERROR(__xludf.DUMMYFUNCTION("""COMPUTED_VALUE"""),"813")</f>
        <v>813</v>
      </c>
      <c r="C28" s="4">
        <f ca="1">IFERROR(__xludf.DUMMYFUNCTION("""COMPUTED_VALUE"""),53)</f>
        <v>53</v>
      </c>
      <c r="D28" s="4">
        <f ca="1">IFERROR(__xludf.DUMMYFUNCTION("""COMPUTED_VALUE"""),118)</f>
        <v>118</v>
      </c>
      <c r="E28" s="4">
        <f ca="1">IFERROR(__xludf.DUMMYFUNCTION("""COMPUTED_VALUE"""),31)</f>
        <v>31</v>
      </c>
      <c r="F28" s="4">
        <f ca="1">IFERROR(__xludf.DUMMYFUNCTION("""COMPUTED_VALUE"""),85.5)</f>
        <v>85.5</v>
      </c>
      <c r="G28" s="4">
        <f ca="1">IFERROR(__xludf.DUMMYFUNCTION("""COMPUTED_VALUE"""),27)</f>
        <v>27</v>
      </c>
      <c r="H28" s="4">
        <f ca="1">IFERROR(__xludf.DUMMYFUNCTION("""COMPUTED_VALUE"""),0.350816115702479)</f>
        <v>0.350816115702479</v>
      </c>
    </row>
    <row r="29" spans="1:8" ht="16.8">
      <c r="A29" s="18" t="str">
        <f ca="1">IFERROR(__xludf.DUMMYFUNCTION("""COMPUTED_VALUE"""),"TGM Allstars")</f>
        <v>TGM Allstars</v>
      </c>
      <c r="B29" s="1" t="str">
        <f ca="1">IFERROR(__xludf.DUMMYFUNCTION("""COMPUTED_VALUE"""),"617")</f>
        <v>617</v>
      </c>
      <c r="C29" s="4">
        <f ca="1">IFERROR(__xludf.DUMMYFUNCTION("""COMPUTED_VALUE"""),0)</f>
        <v>0</v>
      </c>
      <c r="D29" s="4">
        <f ca="1">IFERROR(__xludf.DUMMYFUNCTION("""COMPUTED_VALUE"""),76)</f>
        <v>76</v>
      </c>
      <c r="E29" s="4">
        <f ca="1">IFERROR(__xludf.DUMMYFUNCTION("""COMPUTED_VALUE"""),90)</f>
        <v>90</v>
      </c>
      <c r="F29" s="4">
        <f ca="1">IFERROR(__xludf.DUMMYFUNCTION("""COMPUTED_VALUE"""),83)</f>
        <v>83</v>
      </c>
      <c r="G29" s="4">
        <f ca="1">IFERROR(__xludf.DUMMYFUNCTION("""COMPUTED_VALUE"""),28)</f>
        <v>28</v>
      </c>
      <c r="H29" s="4">
        <f ca="1">IFERROR(__xludf.DUMMYFUNCTION("""COMPUTED_VALUE"""),0.334984504132231)</f>
        <v>0.33498450413223102</v>
      </c>
    </row>
    <row r="30" spans="1:8" ht="16.8">
      <c r="A30" s="18" t="str">
        <f ca="1">IFERROR(__xludf.DUMMYFUNCTION("""COMPUTED_VALUE"""),"Tucumcari")</f>
        <v>Tucumcari</v>
      </c>
      <c r="B30" s="1" t="str">
        <f ca="1">IFERROR(__xludf.DUMMYFUNCTION("""COMPUTED_VALUE"""),"803")</f>
        <v>803</v>
      </c>
      <c r="C30" s="4">
        <f ca="1">IFERROR(__xludf.DUMMYFUNCTION("""COMPUTED_VALUE"""),78)</f>
        <v>78</v>
      </c>
      <c r="D30" s="4">
        <f ca="1">IFERROR(__xludf.DUMMYFUNCTION("""COMPUTED_VALUE"""),72)</f>
        <v>72</v>
      </c>
      <c r="E30" s="4">
        <f ca="1">IFERROR(__xludf.DUMMYFUNCTION("""COMPUTED_VALUE"""),19)</f>
        <v>19</v>
      </c>
      <c r="F30" s="4">
        <f ca="1">IFERROR(__xludf.DUMMYFUNCTION("""COMPUTED_VALUE"""),75)</f>
        <v>75</v>
      </c>
      <c r="G30" s="4">
        <f ca="1">IFERROR(__xludf.DUMMYFUNCTION("""COMPUTED_VALUE"""),29)</f>
        <v>29</v>
      </c>
      <c r="H30" s="4">
        <f ca="1">IFERROR(__xludf.DUMMYFUNCTION("""COMPUTED_VALUE"""),0.318698347107438)</f>
        <v>0.318698347107438</v>
      </c>
    </row>
    <row r="31" spans="1:8" ht="16.8">
      <c r="A31" s="18" t="str">
        <f ca="1">IFERROR(__xludf.DUMMYFUNCTION("""COMPUTED_VALUE"""),"Great Mills High School")</f>
        <v>Great Mills High School</v>
      </c>
      <c r="B31" s="1" t="str">
        <f ca="1">IFERROR(__xludf.DUMMYFUNCTION("""COMPUTED_VALUE"""),"877")</f>
        <v>877</v>
      </c>
      <c r="C31" s="4">
        <f ca="1">IFERROR(__xludf.DUMMYFUNCTION("""COMPUTED_VALUE"""),87)</f>
        <v>87</v>
      </c>
      <c r="D31" s="4">
        <f ca="1">IFERROR(__xludf.DUMMYFUNCTION("""COMPUTED_VALUE"""),60)</f>
        <v>60</v>
      </c>
      <c r="E31" s="4">
        <f ca="1">IFERROR(__xludf.DUMMYFUNCTION("""COMPUTED_VALUE"""),28)</f>
        <v>28</v>
      </c>
      <c r="F31" s="4">
        <f ca="1">IFERROR(__xludf.DUMMYFUNCTION("""COMPUTED_VALUE"""),73.5)</f>
        <v>73.5</v>
      </c>
      <c r="G31" s="4">
        <f ca="1">IFERROR(__xludf.DUMMYFUNCTION("""COMPUTED_VALUE"""),30)</f>
        <v>30</v>
      </c>
      <c r="H31" s="4">
        <f ca="1">IFERROR(__xludf.DUMMYFUNCTION("""COMPUTED_VALUE"""),0.302949380165289)</f>
        <v>0.302949380165289</v>
      </c>
    </row>
    <row r="32" spans="1:8" ht="16.8">
      <c r="A32" s="18" t="str">
        <f ca="1">IFERROR(__xludf.DUMMYFUNCTION("""COMPUTED_VALUE"""),"La Quinta High School")</f>
        <v>La Quinta High School</v>
      </c>
      <c r="B32" s="1" t="str">
        <f ca="1">IFERROR(__xludf.DUMMYFUNCTION("""COMPUTED_VALUE"""),"844")</f>
        <v>844</v>
      </c>
      <c r="C32" s="4">
        <f ca="1">IFERROR(__xludf.DUMMYFUNCTION("""COMPUTED_VALUE"""),77)</f>
        <v>77</v>
      </c>
      <c r="D32" s="4">
        <f ca="1">IFERROR(__xludf.DUMMYFUNCTION("""COMPUTED_VALUE"""),62)</f>
        <v>62</v>
      </c>
      <c r="E32" s="4">
        <f ca="1">IFERROR(__xludf.DUMMYFUNCTION("""COMPUTED_VALUE"""),13)</f>
        <v>13</v>
      </c>
      <c r="F32" s="4">
        <f ca="1">IFERROR(__xludf.DUMMYFUNCTION("""COMPUTED_VALUE"""),69.5)</f>
        <v>69.5</v>
      </c>
      <c r="G32" s="4">
        <f ca="1">IFERROR(__xludf.DUMMYFUNCTION("""COMPUTED_VALUE"""),31)</f>
        <v>31</v>
      </c>
      <c r="H32" s="4">
        <f ca="1">IFERROR(__xludf.DUMMYFUNCTION("""COMPUTED_VALUE"""),0.286993801652892)</f>
        <v>0.28699380165289201</v>
      </c>
    </row>
    <row r="33" spans="1:8" ht="16.8">
      <c r="A33" s="18" t="str">
        <f ca="1">IFERROR(__xludf.DUMMYFUNCTION("""COMPUTED_VALUE"""),"La Quinta Middle School")</f>
        <v>La Quinta Middle School</v>
      </c>
      <c r="B33" s="1" t="str">
        <f ca="1">IFERROR(__xludf.DUMMYFUNCTION("""COMPUTED_VALUE"""),"843")</f>
        <v>843</v>
      </c>
      <c r="C33" s="4">
        <f ca="1">IFERROR(__xludf.DUMMYFUNCTION("""COMPUTED_VALUE"""),27)</f>
        <v>27</v>
      </c>
      <c r="D33" s="4">
        <f ca="1">IFERROR(__xludf.DUMMYFUNCTION("""COMPUTED_VALUE"""),65)</f>
        <v>65</v>
      </c>
      <c r="E33" s="4">
        <f ca="1">IFERROR(__xludf.DUMMYFUNCTION("""COMPUTED_VALUE"""),70)</f>
        <v>70</v>
      </c>
      <c r="F33" s="4">
        <f ca="1">IFERROR(__xludf.DUMMYFUNCTION("""COMPUTED_VALUE"""),67.5)</f>
        <v>67.5</v>
      </c>
      <c r="G33" s="4">
        <f ca="1">IFERROR(__xludf.DUMMYFUNCTION("""COMPUTED_VALUE"""),32)</f>
        <v>32</v>
      </c>
      <c r="H33" s="4">
        <f ca="1">IFERROR(__xludf.DUMMYFUNCTION("""COMPUTED_VALUE"""),0.271203512396694)</f>
        <v>0.27120351239669399</v>
      </c>
    </row>
    <row r="34" spans="1:8" ht="16.8">
      <c r="A34" s="18" t="str">
        <f ca="1">IFERROR(__xludf.DUMMYFUNCTION("""COMPUTED_VALUE"""),"Jerome High School - Golden Girls")</f>
        <v>Jerome High School - Golden Girls</v>
      </c>
      <c r="B34" s="1" t="str">
        <f ca="1">IFERROR(__xludf.DUMMYFUNCTION("""COMPUTED_VALUE"""),"821")</f>
        <v>821</v>
      </c>
      <c r="C34" s="4">
        <f ca="1">IFERROR(__xludf.DUMMYFUNCTION("""COMPUTED_VALUE"""),21)</f>
        <v>21</v>
      </c>
      <c r="D34" s="4">
        <f ca="1">IFERROR(__xludf.DUMMYFUNCTION("""COMPUTED_VALUE"""),19)</f>
        <v>19</v>
      </c>
      <c r="E34" s="4">
        <f ca="1">IFERROR(__xludf.DUMMYFUNCTION("""COMPUTED_VALUE"""),109)</f>
        <v>109</v>
      </c>
      <c r="F34" s="4">
        <f ca="1">IFERROR(__xludf.DUMMYFUNCTION("""COMPUTED_VALUE"""),65)</f>
        <v>65</v>
      </c>
      <c r="G34" s="4">
        <f ca="1">IFERROR(__xludf.DUMMYFUNCTION("""COMPUTED_VALUE"""),33)</f>
        <v>33</v>
      </c>
      <c r="H34" s="4">
        <f ca="1">IFERROR(__xludf.DUMMYFUNCTION("""COMPUTED_VALUE"""),0.255371900826446)</f>
        <v>0.25537190082644601</v>
      </c>
    </row>
    <row r="35" spans="1:8" ht="16.8">
      <c r="A35" s="18" t="str">
        <f ca="1">IFERROR(__xludf.DUMMYFUNCTION("""COMPUTED_VALUE"""),"Tucumcari")</f>
        <v>Tucumcari</v>
      </c>
      <c r="B35" s="1" t="str">
        <f ca="1">IFERROR(__xludf.DUMMYFUNCTION("""COMPUTED_VALUE"""),"310")</f>
        <v>310</v>
      </c>
      <c r="C35" s="4">
        <f ca="1">IFERROR(__xludf.DUMMYFUNCTION("""COMPUTED_VALUE"""),14)</f>
        <v>14</v>
      </c>
      <c r="D35" s="4">
        <f ca="1">IFERROR(__xludf.DUMMYFUNCTION("""COMPUTED_VALUE"""),101)</f>
        <v>101</v>
      </c>
      <c r="E35" s="4">
        <f ca="1">IFERROR(__xludf.DUMMYFUNCTION("""COMPUTED_VALUE"""),13)</f>
        <v>13</v>
      </c>
      <c r="F35" s="4">
        <f ca="1">IFERROR(__xludf.DUMMYFUNCTION("""COMPUTED_VALUE"""),57.5)</f>
        <v>57.5</v>
      </c>
      <c r="G35" s="4">
        <f ca="1">IFERROR(__xludf.DUMMYFUNCTION("""COMPUTED_VALUE"""),34)</f>
        <v>34</v>
      </c>
      <c r="H35" s="4">
        <f ca="1">IFERROR(__xludf.DUMMYFUNCTION("""COMPUTED_VALUE"""),0.239127066115702)</f>
        <v>0.239127066115702</v>
      </c>
    </row>
    <row r="36" spans="1:8" ht="16.8">
      <c r="A36" s="18" t="str">
        <f ca="1">IFERROR(__xludf.DUMMYFUNCTION("""COMPUTED_VALUE"""),"Jerome Middle School - Cosmic Rangers")</f>
        <v>Jerome Middle School - Cosmic Rangers</v>
      </c>
      <c r="B36" s="1" t="str">
        <f ca="1">IFERROR(__xludf.DUMMYFUNCTION("""COMPUTED_VALUE"""),"735")</f>
        <v>735</v>
      </c>
      <c r="C36" s="4">
        <f ca="1">IFERROR(__xludf.DUMMYFUNCTION("""COMPUTED_VALUE"""),29)</f>
        <v>29</v>
      </c>
      <c r="D36" s="4">
        <f ca="1">IFERROR(__xludf.DUMMYFUNCTION("""COMPUTED_VALUE"""),53)</f>
        <v>53</v>
      </c>
      <c r="E36" s="4">
        <f ca="1">IFERROR(__xludf.DUMMYFUNCTION("""COMPUTED_VALUE"""),49)</f>
        <v>49</v>
      </c>
      <c r="F36" s="4">
        <f ca="1">IFERROR(__xludf.DUMMYFUNCTION("""COMPUTED_VALUE"""),51)</f>
        <v>51</v>
      </c>
      <c r="G36" s="4">
        <f ca="1">IFERROR(__xludf.DUMMYFUNCTION("""COMPUTED_VALUE"""),35)</f>
        <v>35</v>
      </c>
      <c r="H36" s="4">
        <f ca="1">IFERROR(__xludf.DUMMYFUNCTION("""COMPUTED_VALUE"""),0.222964876033057)</f>
        <v>0.22296487603305701</v>
      </c>
    </row>
    <row r="37" spans="1:8" ht="16.8">
      <c r="A37" s="18" t="str">
        <f ca="1">IFERROR(__xludf.DUMMYFUNCTION("""COMPUTED_VALUE"""),"Jerome High School")</f>
        <v>Jerome High School</v>
      </c>
      <c r="B37" s="1" t="str">
        <f ca="1">IFERROR(__xludf.DUMMYFUNCTION("""COMPUTED_VALUE"""),"889")</f>
        <v>889</v>
      </c>
      <c r="C37" s="4">
        <f ca="1">IFERROR(__xludf.DUMMYFUNCTION("""COMPUTED_VALUE"""),61)</f>
        <v>61</v>
      </c>
      <c r="D37" s="4">
        <f ca="1">IFERROR(__xludf.DUMMYFUNCTION("""COMPUTED_VALUE"""),40)</f>
        <v>40</v>
      </c>
      <c r="E37" s="4">
        <f ca="1">IFERROR(__xludf.DUMMYFUNCTION("""COMPUTED_VALUE"""),33)</f>
        <v>33</v>
      </c>
      <c r="F37" s="4">
        <f ca="1">IFERROR(__xludf.DUMMYFUNCTION("""COMPUTED_VALUE"""),50.5)</f>
        <v>50.5</v>
      </c>
      <c r="G37" s="4">
        <f ca="1">IFERROR(__xludf.DUMMYFUNCTION("""COMPUTED_VALUE"""),36)</f>
        <v>36</v>
      </c>
      <c r="H37" s="4">
        <f ca="1">IFERROR(__xludf.DUMMYFUNCTION("""COMPUTED_VALUE"""),0.207298553719008)</f>
        <v>0.20729855371900799</v>
      </c>
    </row>
    <row r="38" spans="1:8" ht="16.8">
      <c r="A38" s="18" t="str">
        <f ca="1">IFERROR(__xludf.DUMMYFUNCTION("""COMPUTED_VALUE"""),"Olive Tree International Academy")</f>
        <v>Olive Tree International Academy</v>
      </c>
      <c r="B38" s="1" t="str">
        <f ca="1">IFERROR(__xludf.DUMMYFUNCTION("""COMPUTED_VALUE"""),"661")</f>
        <v>661</v>
      </c>
      <c r="C38" s="4">
        <f ca="1">IFERROR(__xludf.DUMMYFUNCTION("""COMPUTED_VALUE"""),23)</f>
        <v>23</v>
      </c>
      <c r="D38" s="4">
        <f ca="1">IFERROR(__xludf.DUMMYFUNCTION("""COMPUTED_VALUE"""),18)</f>
        <v>18</v>
      </c>
      <c r="E38" s="4">
        <f ca="1">IFERROR(__xludf.DUMMYFUNCTION("""COMPUTED_VALUE"""),73)</f>
        <v>73</v>
      </c>
      <c r="F38" s="4">
        <f ca="1">IFERROR(__xludf.DUMMYFUNCTION("""COMPUTED_VALUE"""),48)</f>
        <v>48</v>
      </c>
      <c r="G38" s="4">
        <f ca="1">IFERROR(__xludf.DUMMYFUNCTION("""COMPUTED_VALUE"""),37)</f>
        <v>37</v>
      </c>
      <c r="H38" s="4">
        <f ca="1">IFERROR(__xludf.DUMMYFUNCTION("""COMPUTED_VALUE"""),0.19146694214876)</f>
        <v>0.19146694214876001</v>
      </c>
    </row>
    <row r="39" spans="1:8" ht="16.8">
      <c r="A39" s="18" t="str">
        <f ca="1">IFERROR(__xludf.DUMMYFUNCTION("""COMPUTED_VALUE"""),"Galileo STEM Academy")</f>
        <v>Galileo STEM Academy</v>
      </c>
      <c r="B39" s="1" t="str">
        <f ca="1">IFERROR(__xludf.DUMMYFUNCTION("""COMPUTED_VALUE"""),"752")</f>
        <v>752</v>
      </c>
      <c r="C39" s="4">
        <f ca="1">IFERROR(__xludf.DUMMYFUNCTION("""COMPUTED_VALUE"""),53)</f>
        <v>53</v>
      </c>
      <c r="D39" s="4">
        <f ca="1">IFERROR(__xludf.DUMMYFUNCTION("""COMPUTED_VALUE"""),42)</f>
        <v>42</v>
      </c>
      <c r="E39" s="4">
        <f ca="1">IFERROR(__xludf.DUMMYFUNCTION("""COMPUTED_VALUE"""),31)</f>
        <v>31</v>
      </c>
      <c r="F39" s="4">
        <f ca="1">IFERROR(__xludf.DUMMYFUNCTION("""COMPUTED_VALUE"""),47.5)</f>
        <v>47.5</v>
      </c>
      <c r="G39" s="4">
        <f ca="1">IFERROR(__xludf.DUMMYFUNCTION("""COMPUTED_VALUE"""),38)</f>
        <v>38</v>
      </c>
      <c r="H39" s="4">
        <f ca="1">IFERROR(__xludf.DUMMYFUNCTION("""COMPUTED_VALUE"""),0.17580061983471)</f>
        <v>0.17580061983470999</v>
      </c>
    </row>
    <row r="40" spans="1:8" ht="16.8">
      <c r="A40" s="18" t="str">
        <f ca="1">IFERROR(__xludf.DUMMYFUNCTION("""COMPUTED_VALUE"""),"Tucumcari")</f>
        <v>Tucumcari</v>
      </c>
      <c r="B40" s="1" t="str">
        <f ca="1">IFERROR(__xludf.DUMMYFUNCTION("""COMPUTED_VALUE"""),"804")</f>
        <v>804</v>
      </c>
      <c r="C40" s="4">
        <f ca="1">IFERROR(__xludf.DUMMYFUNCTION("""COMPUTED_VALUE"""),17)</f>
        <v>17</v>
      </c>
      <c r="D40" s="4">
        <f ca="1">IFERROR(__xludf.DUMMYFUNCTION("""COMPUTED_VALUE"""),31)</f>
        <v>31</v>
      </c>
      <c r="E40" s="4">
        <f ca="1">IFERROR(__xludf.DUMMYFUNCTION("""COMPUTED_VALUE"""),58)</f>
        <v>58</v>
      </c>
      <c r="F40" s="4">
        <f ca="1">IFERROR(__xludf.DUMMYFUNCTION("""COMPUTED_VALUE"""),44.5)</f>
        <v>44.5</v>
      </c>
      <c r="G40" s="4">
        <f ca="1">IFERROR(__xludf.DUMMYFUNCTION("""COMPUTED_VALUE"""),39)</f>
        <v>39</v>
      </c>
      <c r="H40" s="4">
        <f ca="1">IFERROR(__xludf.DUMMYFUNCTION("""COMPUTED_VALUE"""),0.159927685950413)</f>
        <v>0.15992768595041301</v>
      </c>
    </row>
    <row r="41" spans="1:8" ht="16.8">
      <c r="A41" s="18" t="str">
        <f ca="1">IFERROR(__xludf.DUMMYFUNCTION("""COMPUTED_VALUE"""),"Norman Advanced Robotics")</f>
        <v>Norman Advanced Robotics</v>
      </c>
      <c r="B41" s="1" t="str">
        <f ca="1">IFERROR(__xludf.DUMMYFUNCTION("""COMPUTED_VALUE"""),"113")</f>
        <v>113</v>
      </c>
      <c r="C41" s="4">
        <f ca="1">IFERROR(__xludf.DUMMYFUNCTION("""COMPUTED_VALUE"""),50)</f>
        <v>50</v>
      </c>
      <c r="D41" s="4">
        <f ca="1">IFERROR(__xludf.DUMMYFUNCTION("""COMPUTED_VALUE"""),35)</f>
        <v>35</v>
      </c>
      <c r="E41" s="4">
        <f ca="1">IFERROR(__xludf.DUMMYFUNCTION("""COMPUTED_VALUE"""),20)</f>
        <v>20</v>
      </c>
      <c r="F41" s="4">
        <f ca="1">IFERROR(__xludf.DUMMYFUNCTION("""COMPUTED_VALUE"""),42.5)</f>
        <v>42.5</v>
      </c>
      <c r="G41" s="4">
        <f ca="1">IFERROR(__xludf.DUMMYFUNCTION("""COMPUTED_VALUE"""),40)</f>
        <v>40</v>
      </c>
      <c r="H41" s="4">
        <f ca="1">IFERROR(__xludf.DUMMYFUNCTION("""COMPUTED_VALUE"""),0.144137396694214)</f>
        <v>0.14413739669421399</v>
      </c>
    </row>
    <row r="42" spans="1:8" ht="16.8">
      <c r="A42" s="18" t="str">
        <f ca="1">IFERROR(__xludf.DUMMYFUNCTION("""COMPUTED_VALUE"""),"Millwood Arts Academy")</f>
        <v>Millwood Arts Academy</v>
      </c>
      <c r="B42" s="1" t="str">
        <f ca="1">IFERROR(__xludf.DUMMYFUNCTION("""COMPUTED_VALUE"""),"59")</f>
        <v>59</v>
      </c>
      <c r="C42" s="4">
        <f ca="1">IFERROR(__xludf.DUMMYFUNCTION("""COMPUTED_VALUE"""),39)</f>
        <v>39</v>
      </c>
      <c r="D42" s="4">
        <f ca="1">IFERROR(__xludf.DUMMYFUNCTION("""COMPUTED_VALUE"""),39)</f>
        <v>39</v>
      </c>
      <c r="E42" s="4">
        <f ca="1">IFERROR(__xludf.DUMMYFUNCTION("""COMPUTED_VALUE"""),12)</f>
        <v>12</v>
      </c>
      <c r="F42" s="4">
        <f ca="1">IFERROR(__xludf.DUMMYFUNCTION("""COMPUTED_VALUE"""),39)</f>
        <v>39</v>
      </c>
      <c r="G42" s="4">
        <f ca="1">IFERROR(__xludf.DUMMYFUNCTION("""COMPUTED_VALUE"""),41)</f>
        <v>41</v>
      </c>
      <c r="H42" s="4">
        <f ca="1">IFERROR(__xludf.DUMMYFUNCTION("""COMPUTED_VALUE"""),0.128223140495867)</f>
        <v>0.128223140495867</v>
      </c>
    </row>
    <row r="43" spans="1:8" ht="16.8">
      <c r="A43" s="18" t="str">
        <f ca="1">IFERROR(__xludf.DUMMYFUNCTION("""COMPUTED_VALUE"""),"Malden Catholic High School - John Wick")</f>
        <v>Malden Catholic High School - John Wick</v>
      </c>
      <c r="B43" s="1" t="str">
        <f ca="1">IFERROR(__xludf.DUMMYFUNCTION("""COMPUTED_VALUE"""),"770")</f>
        <v>770</v>
      </c>
      <c r="C43" s="4">
        <f ca="1">IFERROR(__xludf.DUMMYFUNCTION("""COMPUTED_VALUE"""),26)</f>
        <v>26</v>
      </c>
      <c r="D43" s="4">
        <f ca="1">IFERROR(__xludf.DUMMYFUNCTION("""COMPUTED_VALUE"""),44)</f>
        <v>44</v>
      </c>
      <c r="E43" s="4">
        <f ca="1">IFERROR(__xludf.DUMMYFUNCTION("""COMPUTED_VALUE"""),31)</f>
        <v>31</v>
      </c>
      <c r="F43" s="4">
        <f ca="1">IFERROR(__xludf.DUMMYFUNCTION("""COMPUTED_VALUE"""),37.5)</f>
        <v>37.5</v>
      </c>
      <c r="G43" s="4">
        <f ca="1">IFERROR(__xludf.DUMMYFUNCTION("""COMPUTED_VALUE"""),42)</f>
        <v>42</v>
      </c>
      <c r="H43" s="4">
        <f ca="1">IFERROR(__xludf.DUMMYFUNCTION("""COMPUTED_VALUE"""),0.112474173553719)</f>
        <v>0.112474173553719</v>
      </c>
    </row>
    <row r="44" spans="1:8" ht="16.8">
      <c r="A44" s="18" t="str">
        <f ca="1">IFERROR(__xludf.DUMMYFUNCTION("""COMPUTED_VALUE"""),"Tucumcari")</f>
        <v>Tucumcari</v>
      </c>
      <c r="B44" s="1" t="str">
        <f ca="1">IFERROR(__xludf.DUMMYFUNCTION("""COMPUTED_VALUE"""),"806")</f>
        <v>806</v>
      </c>
      <c r="C44" s="4">
        <f ca="1">IFERROR(__xludf.DUMMYFUNCTION("""COMPUTED_VALUE"""),40)</f>
        <v>40</v>
      </c>
      <c r="D44" s="4">
        <f ca="1">IFERROR(__xludf.DUMMYFUNCTION("""COMPUTED_VALUE"""),34)</f>
        <v>34</v>
      </c>
      <c r="E44" s="4">
        <f ca="1">IFERROR(__xludf.DUMMYFUNCTION("""COMPUTED_VALUE"""),33)</f>
        <v>33</v>
      </c>
      <c r="F44" s="4">
        <f ca="1">IFERROR(__xludf.DUMMYFUNCTION("""COMPUTED_VALUE"""),37)</f>
        <v>37</v>
      </c>
      <c r="G44" s="4">
        <f ca="1">IFERROR(__xludf.DUMMYFUNCTION("""COMPUTED_VALUE"""),43)</f>
        <v>43</v>
      </c>
      <c r="H44" s="4">
        <f ca="1">IFERROR(__xludf.DUMMYFUNCTION("""COMPUTED_VALUE"""),0.0968078512396694)</f>
        <v>9.6807851239669396E-2</v>
      </c>
    </row>
    <row r="45" spans="1:8" ht="16.8">
      <c r="A45" s="18" t="str">
        <f ca="1">IFERROR(__xludf.DUMMYFUNCTION("""COMPUTED_VALUE"""),"Australia Team")</f>
        <v>Australia Team</v>
      </c>
      <c r="B45" s="1" t="str">
        <f ca="1">IFERROR(__xludf.DUMMYFUNCTION("""COMPUTED_VALUE"""),"921")</f>
        <v>921</v>
      </c>
      <c r="C45" s="4">
        <f ca="1">IFERROR(__xludf.DUMMYFUNCTION("""COMPUTED_VALUE"""),36)</f>
        <v>36</v>
      </c>
      <c r="D45" s="4">
        <f ca="1">IFERROR(__xludf.DUMMYFUNCTION("""COMPUTED_VALUE"""),28)</f>
        <v>28</v>
      </c>
      <c r="E45" s="4">
        <f ca="1">IFERROR(__xludf.DUMMYFUNCTION("""COMPUTED_VALUE"""),24)</f>
        <v>24</v>
      </c>
      <c r="F45" s="4">
        <f ca="1">IFERROR(__xludf.DUMMYFUNCTION("""COMPUTED_VALUE"""),32)</f>
        <v>32</v>
      </c>
      <c r="G45" s="4">
        <f ca="1">IFERROR(__xludf.DUMMYFUNCTION("""COMPUTED_VALUE"""),44)</f>
        <v>44</v>
      </c>
      <c r="H45" s="4">
        <f ca="1">IFERROR(__xludf.DUMMYFUNCTION("""COMPUTED_VALUE"""),0.0807696280991735)</f>
        <v>8.0769628099173499E-2</v>
      </c>
    </row>
    <row r="46" spans="1:8" ht="16.8">
      <c r="A46" s="18" t="str">
        <f ca="1">IFERROR(__xludf.DUMMYFUNCTION("""COMPUTED_VALUE"""),"Curtis Inge Middle School")</f>
        <v>Curtis Inge Middle School</v>
      </c>
      <c r="B46" s="1" t="str">
        <f ca="1">IFERROR(__xludf.DUMMYFUNCTION("""COMPUTED_VALUE"""),"711")</f>
        <v>711</v>
      </c>
      <c r="C46" s="4">
        <f ca="1">IFERROR(__xludf.DUMMYFUNCTION("""COMPUTED_VALUE"""),32)</f>
        <v>32</v>
      </c>
      <c r="D46" s="4">
        <f ca="1">IFERROR(__xludf.DUMMYFUNCTION("""COMPUTED_VALUE"""),31)</f>
        <v>31</v>
      </c>
      <c r="E46" s="4">
        <f ca="1">IFERROR(__xludf.DUMMYFUNCTION("""COMPUTED_VALUE"""),27)</f>
        <v>27</v>
      </c>
      <c r="F46" s="4">
        <f ca="1">IFERROR(__xludf.DUMMYFUNCTION("""COMPUTED_VALUE"""),31.5)</f>
        <v>31.5</v>
      </c>
      <c r="G46" s="4">
        <f ca="1">IFERROR(__xludf.DUMMYFUNCTION("""COMPUTED_VALUE"""),45)</f>
        <v>45</v>
      </c>
      <c r="H46" s="4">
        <f ca="1">IFERROR(__xludf.DUMMYFUNCTION("""COMPUTED_VALUE"""),0.0651033057851239)</f>
        <v>6.5103305785123897E-2</v>
      </c>
    </row>
    <row r="47" spans="1:8" ht="16.8">
      <c r="A47" s="18" t="str">
        <f ca="1">IFERROR(__xludf.DUMMYFUNCTION("""COMPUTED_VALUE"""),"Buffalo Valley Public Schools")</f>
        <v>Buffalo Valley Public Schools</v>
      </c>
      <c r="B47" s="1" t="str">
        <f ca="1">IFERROR(__xludf.DUMMYFUNCTION("""COMPUTED_VALUE"""),"866")</f>
        <v>866</v>
      </c>
      <c r="C47" s="4">
        <f ca="1">IFERROR(__xludf.DUMMYFUNCTION("""COMPUTED_VALUE"""),37)</f>
        <v>37</v>
      </c>
      <c r="D47" s="4">
        <f ca="1">IFERROR(__xludf.DUMMYFUNCTION("""COMPUTED_VALUE"""),24)</f>
        <v>24</v>
      </c>
      <c r="E47" s="4">
        <f ca="1">IFERROR(__xludf.DUMMYFUNCTION("""COMPUTED_VALUE"""),24)</f>
        <v>24</v>
      </c>
      <c r="F47" s="4">
        <f ca="1">IFERROR(__xludf.DUMMYFUNCTION("""COMPUTED_VALUE"""),30.5)</f>
        <v>30.5</v>
      </c>
      <c r="G47" s="4">
        <f ca="1">IFERROR(__xludf.DUMMYFUNCTION("""COMPUTED_VALUE"""),46)</f>
        <v>46</v>
      </c>
      <c r="H47" s="4">
        <f ca="1">IFERROR(__xludf.DUMMYFUNCTION("""COMPUTED_VALUE"""),0.0493956611570247)</f>
        <v>4.9395661157024699E-2</v>
      </c>
    </row>
    <row r="48" spans="1:8" ht="16.8">
      <c r="A48" s="18" t="str">
        <f ca="1">IFERROR(__xludf.DUMMYFUNCTION("""COMPUTED_VALUE"""),"Great Mills High School")</f>
        <v>Great Mills High School</v>
      </c>
      <c r="B48" s="1" t="str">
        <f ca="1">IFERROR(__xludf.DUMMYFUNCTION("""COMPUTED_VALUE"""),"504")</f>
        <v>504</v>
      </c>
      <c r="C48" s="4">
        <f ca="1">IFERROR(__xludf.DUMMYFUNCTION("""COMPUTED_VALUE"""),28)</f>
        <v>28</v>
      </c>
      <c r="D48" s="4">
        <f ca="1">IFERROR(__xludf.DUMMYFUNCTION("""COMPUTED_VALUE"""),13)</f>
        <v>13</v>
      </c>
      <c r="E48" s="4">
        <f ca="1">IFERROR(__xludf.DUMMYFUNCTION("""COMPUTED_VALUE"""),12)</f>
        <v>12</v>
      </c>
      <c r="F48" s="4">
        <f ca="1">IFERROR(__xludf.DUMMYFUNCTION("""COMPUTED_VALUE"""),20.5)</f>
        <v>20.5</v>
      </c>
      <c r="G48" s="4">
        <f ca="1">IFERROR(__xludf.DUMMYFUNCTION("""COMPUTED_VALUE"""),47)</f>
        <v>47</v>
      </c>
      <c r="H48" s="4">
        <f ca="1">IFERROR(__xludf.DUMMYFUNCTION("""COMPUTED_VALUE"""),0.032944214876033)</f>
        <v>3.2944214876033003E-2</v>
      </c>
    </row>
    <row r="49" spans="1:8" ht="16.8">
      <c r="A49" s="18" t="str">
        <f ca="1">IFERROR(__xludf.DUMMYFUNCTION("""COMPUTED_VALUE"""),"Bald Eagle Area School District")</f>
        <v>Bald Eagle Area School District</v>
      </c>
      <c r="B49" s="1" t="str">
        <f ca="1">IFERROR(__xludf.DUMMYFUNCTION("""COMPUTED_VALUE"""),"86")</f>
        <v>86</v>
      </c>
      <c r="C49" s="4">
        <f ca="1">IFERROR(__xludf.DUMMYFUNCTION("""COMPUTED_VALUE"""),23)</f>
        <v>23</v>
      </c>
      <c r="D49" s="4">
        <f ca="1">IFERROR(__xludf.DUMMYFUNCTION("""COMPUTED_VALUE"""),16)</f>
        <v>16</v>
      </c>
      <c r="E49" s="4">
        <f ca="1">IFERROR(__xludf.DUMMYFUNCTION("""COMPUTED_VALUE"""),15)</f>
        <v>15</v>
      </c>
      <c r="F49" s="4">
        <f ca="1">IFERROR(__xludf.DUMMYFUNCTION("""COMPUTED_VALUE"""),19.5)</f>
        <v>19.5</v>
      </c>
      <c r="G49" s="4">
        <f ca="1">IFERROR(__xludf.DUMMYFUNCTION("""COMPUTED_VALUE"""),48)</f>
        <v>48</v>
      </c>
      <c r="H49" s="4">
        <f ca="1">IFERROR(__xludf.DUMMYFUNCTION("""COMPUTED_VALUE"""),0.0172365702479338)</f>
        <v>1.7236570247933802E-2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434343"/>
    <outlinePr summaryBelow="0" summaryRight="0"/>
  </sheetPr>
  <dimension ref="A1:J4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6640625" defaultRowHeight="15.75" customHeight="1"/>
  <cols>
    <col min="1" max="1" width="46.109375" customWidth="1"/>
    <col min="10" max="10" width="16" customWidth="1"/>
  </cols>
  <sheetData>
    <row r="1" spans="1:10" ht="15.75" customHeight="1">
      <c r="A1" s="19" t="str">
        <f ca="1">IFERROR(__xludf.DUMMYFUNCTION("IMPORTRANGE(""https://docs.google.com/spreadsheets/d/11rZfuCcnWwx4mypRymG7SP3aoV-_A_PQ83tyDxi-OiQ/edit?pli=1&amp;gid=620283645#gid=620283645"", ""Double Seeding!A1:J49"")"),"Team Name")</f>
        <v>Team Name</v>
      </c>
      <c r="B1" s="1" t="str">
        <f ca="1">IFERROR(__xludf.DUMMYFUNCTION("""COMPUTED_VALUE"""),"Team Num")</f>
        <v>Team Num</v>
      </c>
      <c r="C1" s="2" t="str">
        <f ca="1">IFERROR(__xludf.DUMMYFUNCTION("""COMPUTED_VALUE"""),"DS 1")</f>
        <v>DS 1</v>
      </c>
      <c r="D1" s="2" t="str">
        <f ca="1">IFERROR(__xludf.DUMMYFUNCTION("""COMPUTED_VALUE"""),"DS 2")</f>
        <v>DS 2</v>
      </c>
      <c r="E1" s="2" t="str">
        <f ca="1">IFERROR(__xludf.DUMMYFUNCTION("""COMPUTED_VALUE"""),"DS 3")</f>
        <v>DS 3</v>
      </c>
      <c r="F1" s="2" t="str">
        <f ca="1">IFERROR(__xludf.DUMMYFUNCTION("""COMPUTED_VALUE"""),"DS 4")</f>
        <v>DS 4</v>
      </c>
      <c r="G1" s="2" t="str">
        <f ca="1">IFERROR(__xludf.DUMMYFUNCTION("""COMPUTED_VALUE"""),"DS 5")</f>
        <v>DS 5</v>
      </c>
      <c r="H1" s="2" t="str">
        <f ca="1">IFERROR(__xludf.DUMMYFUNCTION("""COMPUTED_VALUE"""),"DS Average")</f>
        <v>DS Average</v>
      </c>
      <c r="I1" s="2" t="str">
        <f ca="1">IFERROR(__xludf.DUMMYFUNCTION("""COMPUTED_VALUE"""),"DS Rank")</f>
        <v>DS Rank</v>
      </c>
      <c r="J1" s="2" t="str">
        <f ca="1">IFERROR(__xludf.DUMMYFUNCTION("""COMPUTED_VALUE"""),"DS Raw")</f>
        <v>DS Raw</v>
      </c>
    </row>
    <row r="2" spans="1:10" ht="15.75" customHeight="1">
      <c r="A2" s="3" t="str">
        <f ca="1">IFERROR(__xludf.DUMMYFUNCTION("""COMPUTED_VALUE"""),"HTL Wiener Neustadt")</f>
        <v>HTL Wiener Neustadt</v>
      </c>
      <c r="B2" s="1" t="str">
        <f ca="1">IFERROR(__xludf.DUMMYFUNCTION("""COMPUTED_VALUE"""),"606")</f>
        <v>606</v>
      </c>
      <c r="C2" s="4">
        <f ca="1">IFERROR(__xludf.DUMMYFUNCTION("""COMPUTED_VALUE"""),2248)</f>
        <v>2248</v>
      </c>
      <c r="D2" s="4">
        <f ca="1">IFERROR(__xludf.DUMMYFUNCTION("""COMPUTED_VALUE"""),2625)</f>
        <v>2625</v>
      </c>
      <c r="E2" s="4">
        <f ca="1">IFERROR(__xludf.DUMMYFUNCTION("""COMPUTED_VALUE"""),2396)</f>
        <v>2396</v>
      </c>
      <c r="F2" s="4">
        <f ca="1">IFERROR(__xludf.DUMMYFUNCTION("""COMPUTED_VALUE"""),3662)</f>
        <v>3662</v>
      </c>
      <c r="G2" s="4">
        <f ca="1">IFERROR(__xludf.DUMMYFUNCTION("""COMPUTED_VALUE"""),2214)</f>
        <v>2214</v>
      </c>
      <c r="H2" s="4">
        <f ca="1">IFERROR(__xludf.DUMMYFUNCTION("""COMPUTED_VALUE"""),2629)</f>
        <v>2629</v>
      </c>
      <c r="I2" s="4">
        <f ca="1">IFERROR(__xludf.DUMMYFUNCTION("""COMPUTED_VALUE"""),1)</f>
        <v>1</v>
      </c>
      <c r="J2" s="4">
        <f ca="1">IFERROR(__xludf.DUMMYFUNCTION("""COMPUTED_VALUE"""),0.905971236118696)</f>
        <v>0.90597123611869601</v>
      </c>
    </row>
    <row r="3" spans="1:10" ht="15.75" customHeight="1">
      <c r="A3" s="3" t="str">
        <f ca="1">IFERROR(__xludf.DUMMYFUNCTION("""COMPUTED_VALUE"""),"Los Altos Community Team")</f>
        <v>Los Altos Community Team</v>
      </c>
      <c r="B3" s="1" t="str">
        <f ca="1">IFERROR(__xludf.DUMMYFUNCTION("""COMPUTED_VALUE"""),"399")</f>
        <v>399</v>
      </c>
      <c r="C3" s="4">
        <f ca="1">IFERROR(__xludf.DUMMYFUNCTION("""COMPUTED_VALUE"""),1846)</f>
        <v>1846</v>
      </c>
      <c r="D3" s="4">
        <f ca="1">IFERROR(__xludf.DUMMYFUNCTION("""COMPUTED_VALUE"""),1825)</f>
        <v>1825</v>
      </c>
      <c r="E3" s="4">
        <f ca="1">IFERROR(__xludf.DUMMYFUNCTION("""COMPUTED_VALUE"""),2200)</f>
        <v>2200</v>
      </c>
      <c r="F3" s="4">
        <f ca="1">IFERROR(__xludf.DUMMYFUNCTION("""COMPUTED_VALUE"""),1694)</f>
        <v>1694</v>
      </c>
      <c r="G3" s="4">
        <f ca="1">IFERROR(__xludf.DUMMYFUNCTION("""COMPUTED_VALUE"""),1337)</f>
        <v>1337</v>
      </c>
      <c r="H3" s="4">
        <f ca="1">IFERROR(__xludf.DUMMYFUNCTION("""COMPUTED_VALUE"""),1780.4)</f>
        <v>1780.4</v>
      </c>
      <c r="I3" s="4">
        <f ca="1">IFERROR(__xludf.DUMMYFUNCTION("""COMPUTED_VALUE"""),2)</f>
        <v>2</v>
      </c>
      <c r="J3" s="4">
        <f ca="1">IFERROR(__xludf.DUMMYFUNCTION("""COMPUTED_VALUE"""),0.814838582438254)</f>
        <v>0.81483858243825402</v>
      </c>
    </row>
    <row r="4" spans="1:10" ht="15.75" customHeight="1">
      <c r="A4" s="3" t="str">
        <f ca="1">IFERROR(__xludf.DUMMYFUNCTION("""COMPUTED_VALUE"""),"HTL Wiener Neustadt")</f>
        <v>HTL Wiener Neustadt</v>
      </c>
      <c r="B4" s="1" t="str">
        <f ca="1">IFERROR(__xludf.DUMMYFUNCTION("""COMPUTED_VALUE"""),"188")</f>
        <v>188</v>
      </c>
      <c r="C4" s="4">
        <f ca="1">IFERROR(__xludf.DUMMYFUNCTION("""COMPUTED_VALUE"""),1649)</f>
        <v>1649</v>
      </c>
      <c r="D4" s="4">
        <f ca="1">IFERROR(__xludf.DUMMYFUNCTION("""COMPUTED_VALUE"""),2108)</f>
        <v>2108</v>
      </c>
      <c r="E4" s="4">
        <f ca="1">IFERROR(__xludf.DUMMYFUNCTION("""COMPUTED_VALUE"""),1570)</f>
        <v>1570</v>
      </c>
      <c r="F4" s="4">
        <f ca="1">IFERROR(__xludf.DUMMYFUNCTION("""COMPUTED_VALUE"""),1503)</f>
        <v>1503</v>
      </c>
      <c r="G4" s="4">
        <f ca="1">IFERROR(__xludf.DUMMYFUNCTION("""COMPUTED_VALUE"""),1006)</f>
        <v>1006</v>
      </c>
      <c r="H4" s="4">
        <f ca="1">IFERROR(__xludf.DUMMYFUNCTION("""COMPUTED_VALUE"""),1567.2)</f>
        <v>1567.2</v>
      </c>
      <c r="I4" s="4">
        <f ca="1">IFERROR(__xludf.DUMMYFUNCTION("""COMPUTED_VALUE"""),3)</f>
        <v>3</v>
      </c>
      <c r="J4" s="4">
        <f ca="1">IFERROR(__xludf.DUMMYFUNCTION("""COMPUTED_VALUE"""),0.781543176163602)</f>
        <v>0.78154317616360203</v>
      </c>
    </row>
    <row r="5" spans="1:10" ht="15.75" customHeight="1">
      <c r="A5" s="3" t="str">
        <f ca="1">IFERROR(__xludf.DUMMYFUNCTION("""COMPUTED_VALUE"""),"HTL St. Pölten")</f>
        <v>HTL St. Pölten</v>
      </c>
      <c r="B5" s="1" t="str">
        <f ca="1">IFERROR(__xludf.DUMMYFUNCTION("""COMPUTED_VALUE"""),"635")</f>
        <v>635</v>
      </c>
      <c r="C5" s="4">
        <f ca="1">IFERROR(__xludf.DUMMYFUNCTION("""COMPUTED_VALUE"""),933)</f>
        <v>933</v>
      </c>
      <c r="D5" s="4">
        <f ca="1">IFERROR(__xludf.DUMMYFUNCTION("""COMPUTED_VALUE"""),1323)</f>
        <v>1323</v>
      </c>
      <c r="E5" s="4">
        <f ca="1">IFERROR(__xludf.DUMMYFUNCTION("""COMPUTED_VALUE"""),1288)</f>
        <v>1288</v>
      </c>
      <c r="F5" s="4">
        <f ca="1">IFERROR(__xludf.DUMMYFUNCTION("""COMPUTED_VALUE"""),1162)</f>
        <v>1162</v>
      </c>
      <c r="G5" s="4">
        <f ca="1">IFERROR(__xludf.DUMMYFUNCTION("""COMPUTED_VALUE"""),169)</f>
        <v>169</v>
      </c>
      <c r="H5" s="4">
        <f ca="1">IFERROR(__xludf.DUMMYFUNCTION("""COMPUTED_VALUE"""),975)</f>
        <v>975</v>
      </c>
      <c r="I5" s="4">
        <f ca="1">IFERROR(__xludf.DUMMYFUNCTION("""COMPUTED_VALUE"""),4)</f>
        <v>4</v>
      </c>
      <c r="J5" s="4">
        <f ca="1">IFERROR(__xludf.DUMMYFUNCTION("""COMPUTED_VALUE"""),0.713749317312943)</f>
        <v>0.713749317312943</v>
      </c>
    </row>
    <row r="6" spans="1:10" ht="15.75" customHeight="1">
      <c r="A6" s="3" t="str">
        <f ca="1">IFERROR(__xludf.DUMMYFUNCTION("""COMPUTED_VALUE"""),"Los Altos Community Team")</f>
        <v>Los Altos Community Team</v>
      </c>
      <c r="B6" s="1" t="str">
        <f ca="1">IFERROR(__xludf.DUMMYFUNCTION("""COMPUTED_VALUE"""),"453")</f>
        <v>453</v>
      </c>
      <c r="C6" s="4">
        <f ca="1">IFERROR(__xludf.DUMMYFUNCTION("""COMPUTED_VALUE"""),1152)</f>
        <v>1152</v>
      </c>
      <c r="D6" s="4">
        <f ca="1">IFERROR(__xludf.DUMMYFUNCTION("""COMPUTED_VALUE"""),139)</f>
        <v>139</v>
      </c>
      <c r="E6" s="4">
        <f ca="1">IFERROR(__xludf.DUMMYFUNCTION("""COMPUTED_VALUE"""),767)</f>
        <v>767</v>
      </c>
      <c r="F6" s="4">
        <f ca="1">IFERROR(__xludf.DUMMYFUNCTION("""COMPUTED_VALUE"""),758)</f>
        <v>758</v>
      </c>
      <c r="G6" s="4">
        <f ca="1">IFERROR(__xludf.DUMMYFUNCTION("""COMPUTED_VALUE"""),1172)</f>
        <v>1172</v>
      </c>
      <c r="H6" s="4">
        <f ca="1">IFERROR(__xludf.DUMMYFUNCTION("""COMPUTED_VALUE"""),797.6)</f>
        <v>797.6</v>
      </c>
      <c r="I6" s="4">
        <f ca="1">IFERROR(__xludf.DUMMYFUNCTION("""COMPUTED_VALUE"""),5)</f>
        <v>5</v>
      </c>
      <c r="J6" s="4">
        <f ca="1">IFERROR(__xludf.DUMMYFUNCTION("""COMPUTED_VALUE"""),0.68371260392014)</f>
        <v>0.68371260392013999</v>
      </c>
    </row>
    <row r="7" spans="1:10" ht="15.75" customHeight="1">
      <c r="A7" s="3" t="str">
        <f ca="1">IFERROR(__xludf.DUMMYFUNCTION("""COMPUTED_VALUE"""),"PUI CHING MIDDLE SCHOOL")</f>
        <v>PUI CHING MIDDLE SCHOOL</v>
      </c>
      <c r="B7" s="1" t="str">
        <f ca="1">IFERROR(__xludf.DUMMYFUNCTION("""COMPUTED_VALUE"""),"665")</f>
        <v>665</v>
      </c>
      <c r="C7" s="4">
        <f ca="1">IFERROR(__xludf.DUMMYFUNCTION("""COMPUTED_VALUE"""),837)</f>
        <v>837</v>
      </c>
      <c r="D7" s="4">
        <f ca="1">IFERROR(__xludf.DUMMYFUNCTION("""COMPUTED_VALUE"""),964)</f>
        <v>964</v>
      </c>
      <c r="E7" s="4">
        <f ca="1">IFERROR(__xludf.DUMMYFUNCTION("""COMPUTED_VALUE"""),662)</f>
        <v>662</v>
      </c>
      <c r="F7" s="4">
        <f ca="1">IFERROR(__xludf.DUMMYFUNCTION("""COMPUTED_VALUE"""),795)</f>
        <v>795</v>
      </c>
      <c r="G7" s="4">
        <f ca="1">IFERROR(__xludf.DUMMYFUNCTION("""COMPUTED_VALUE"""),633)</f>
        <v>633</v>
      </c>
      <c r="H7" s="4">
        <f ca="1">IFERROR(__xludf.DUMMYFUNCTION("""COMPUTED_VALUE"""),778.2)</f>
        <v>778.2</v>
      </c>
      <c r="I7" s="4">
        <f ca="1">IFERROR(__xludf.DUMMYFUNCTION("""COMPUTED_VALUE"""),6)</f>
        <v>6</v>
      </c>
      <c r="J7" s="4">
        <f ca="1">IFERROR(__xludf.DUMMYFUNCTION("""COMPUTED_VALUE"""),0.668057831179076)</f>
        <v>0.66805783117907602</v>
      </c>
    </row>
    <row r="8" spans="1:10" ht="15.75" customHeight="1">
      <c r="A8" s="3" t="str">
        <f ca="1">IFERROR(__xludf.DUMMYFUNCTION("""COMPUTED_VALUE"""),"Radiant Robotics - Boom")</f>
        <v>Radiant Robotics - Boom</v>
      </c>
      <c r="B8" s="1" t="str">
        <f ca="1">IFERROR(__xludf.DUMMYFUNCTION("""COMPUTED_VALUE"""),"926")</f>
        <v>926</v>
      </c>
      <c r="C8" s="4">
        <f ca="1">IFERROR(__xludf.DUMMYFUNCTION("""COMPUTED_VALUE"""),289)</f>
        <v>289</v>
      </c>
      <c r="D8" s="4">
        <f ca="1">IFERROR(__xludf.DUMMYFUNCTION("""COMPUTED_VALUE"""),303)</f>
        <v>303</v>
      </c>
      <c r="E8" s="4">
        <f ca="1">IFERROR(__xludf.DUMMYFUNCTION("""COMPUTED_VALUE"""),529)</f>
        <v>529</v>
      </c>
      <c r="F8" s="4">
        <f ca="1">IFERROR(__xludf.DUMMYFUNCTION("""COMPUTED_VALUE"""),779)</f>
        <v>779</v>
      </c>
      <c r="G8" s="4">
        <f ca="1">IFERROR(__xludf.DUMMYFUNCTION("""COMPUTED_VALUE"""),1458)</f>
        <v>1458</v>
      </c>
      <c r="H8" s="4">
        <f ca="1">IFERROR(__xludf.DUMMYFUNCTION("""COMPUTED_VALUE"""),671.6)</f>
        <v>671.6</v>
      </c>
      <c r="I8" s="4">
        <f ca="1">IFERROR(__xludf.DUMMYFUNCTION("""COMPUTED_VALUE"""),7)</f>
        <v>7</v>
      </c>
      <c r="J8" s="4">
        <f ca="1">IFERROR(__xludf.DUMMYFUNCTION("""COMPUTED_VALUE"""),0.644465683597305)</f>
        <v>0.64446568359730505</v>
      </c>
    </row>
    <row r="9" spans="1:10" ht="15.75" customHeight="1">
      <c r="A9" s="3" t="str">
        <f ca="1">IFERROR(__xludf.DUMMYFUNCTION("""COMPUTED_VALUE"""),"Beanstalk International Bilingual School-Titan")</f>
        <v>Beanstalk International Bilingual School-Titan</v>
      </c>
      <c r="B9" s="1" t="str">
        <f ca="1">IFERROR(__xludf.DUMMYFUNCTION("""COMPUTED_VALUE"""),"663")</f>
        <v>663</v>
      </c>
      <c r="C9" s="4">
        <f ca="1">IFERROR(__xludf.DUMMYFUNCTION("""COMPUTED_VALUE"""),68)</f>
        <v>68</v>
      </c>
      <c r="D9" s="4">
        <f ca="1">IFERROR(__xludf.DUMMYFUNCTION("""COMPUTED_VALUE"""),1015)</f>
        <v>1015</v>
      </c>
      <c r="E9" s="4">
        <f ca="1">IFERROR(__xludf.DUMMYFUNCTION("""COMPUTED_VALUE"""),851)</f>
        <v>851</v>
      </c>
      <c r="F9" s="4">
        <f ca="1">IFERROR(__xludf.DUMMYFUNCTION("""COMPUTED_VALUE"""),236)</f>
        <v>236</v>
      </c>
      <c r="G9" s="4">
        <f ca="1">IFERROR(__xludf.DUMMYFUNCTION("""COMPUTED_VALUE"""),920)</f>
        <v>920</v>
      </c>
      <c r="H9" s="4">
        <f ca="1">IFERROR(__xludf.DUMMYFUNCTION("""COMPUTED_VALUE"""),618)</f>
        <v>618</v>
      </c>
      <c r="I9" s="4">
        <f ca="1">IFERROR(__xludf.DUMMYFUNCTION("""COMPUTED_VALUE"""),8)</f>
        <v>8</v>
      </c>
      <c r="J9" s="4">
        <f ca="1">IFERROR(__xludf.DUMMYFUNCTION("""COMPUTED_VALUE"""),0.625697857879725)</f>
        <v>0.62569785787972498</v>
      </c>
    </row>
    <row r="10" spans="1:10" ht="15.75" customHeight="1">
      <c r="A10" s="3" t="str">
        <f ca="1">IFERROR(__xludf.DUMMYFUNCTION("""COMPUTED_VALUE"""),"HTL Wien West")</f>
        <v>HTL Wien West</v>
      </c>
      <c r="B10" s="1" t="str">
        <f ca="1">IFERROR(__xludf.DUMMYFUNCTION("""COMPUTED_VALUE"""),"623")</f>
        <v>623</v>
      </c>
      <c r="C10" s="4">
        <f ca="1">IFERROR(__xludf.DUMMYFUNCTION("""COMPUTED_VALUE"""),98)</f>
        <v>98</v>
      </c>
      <c r="D10" s="4">
        <f ca="1">IFERROR(__xludf.DUMMYFUNCTION("""COMPUTED_VALUE"""),211)</f>
        <v>211</v>
      </c>
      <c r="E10" s="4">
        <f ca="1">IFERROR(__xludf.DUMMYFUNCTION("""COMPUTED_VALUE"""),1436)</f>
        <v>1436</v>
      </c>
      <c r="F10" s="4">
        <f ca="1">IFERROR(__xludf.DUMMYFUNCTION("""COMPUTED_VALUE"""),115)</f>
        <v>115</v>
      </c>
      <c r="G10" s="4">
        <f ca="1">IFERROR(__xludf.DUMMYFUNCTION("""COMPUTED_VALUE"""),338)</f>
        <v>338</v>
      </c>
      <c r="H10" s="4">
        <f ca="1">IFERROR(__xludf.DUMMYFUNCTION("""COMPUTED_VALUE"""),439.6)</f>
        <v>439.6</v>
      </c>
      <c r="I10" s="4">
        <f ca="1">IFERROR(__xludf.DUMMYFUNCTION("""COMPUTED_VALUE"""),9)</f>
        <v>9</v>
      </c>
      <c r="J10" s="4">
        <f ca="1">IFERROR(__xludf.DUMMYFUNCTION("""COMPUTED_VALUE"""),0.595570119546088)</f>
        <v>0.59557011954608796</v>
      </c>
    </row>
    <row r="11" spans="1:10" ht="15.75" customHeight="1">
      <c r="A11" s="3" t="str">
        <f ca="1">IFERROR(__xludf.DUMMYFUNCTION("""COMPUTED_VALUE"""),"Los Altos Community Team - Moonkeys")</f>
        <v>Los Altos Community Team - Moonkeys</v>
      </c>
      <c r="B11" s="1" t="str">
        <f ca="1">IFERROR(__xludf.DUMMYFUNCTION("""COMPUTED_VALUE"""),"329")</f>
        <v>329</v>
      </c>
      <c r="C11" s="4">
        <f ca="1">IFERROR(__xludf.DUMMYFUNCTION("""COMPUTED_VALUE"""),366)</f>
        <v>366</v>
      </c>
      <c r="D11" s="4">
        <f ca="1">IFERROR(__xludf.DUMMYFUNCTION("""COMPUTED_VALUE"""),411)</f>
        <v>411</v>
      </c>
      <c r="E11" s="4">
        <f ca="1">IFERROR(__xludf.DUMMYFUNCTION("""COMPUTED_VALUE"""),134)</f>
        <v>134</v>
      </c>
      <c r="F11" s="4">
        <f ca="1">IFERROR(__xludf.DUMMYFUNCTION("""COMPUTED_VALUE"""),321)</f>
        <v>321</v>
      </c>
      <c r="G11" s="4">
        <f ca="1">IFERROR(__xludf.DUMMYFUNCTION("""COMPUTED_VALUE"""),451)</f>
        <v>451</v>
      </c>
      <c r="H11" s="4">
        <f ca="1">IFERROR(__xludf.DUMMYFUNCTION("""COMPUTED_VALUE"""),336.6)</f>
        <v>336.6</v>
      </c>
      <c r="I11" s="4">
        <f ca="1">IFERROR(__xludf.DUMMYFUNCTION("""COMPUTED_VALUE"""),10)</f>
        <v>10</v>
      </c>
      <c r="J11" s="4">
        <f ca="1">IFERROR(__xludf.DUMMYFUNCTION("""COMPUTED_VALUE"""),0.572305661751319)</f>
        <v>0.57230566175131903</v>
      </c>
    </row>
    <row r="12" spans="1:10" ht="15.75" customHeight="1">
      <c r="A12" s="3" t="str">
        <f ca="1">IFERROR(__xludf.DUMMYFUNCTION("""COMPUTED_VALUE"""),"Colonial Botball")</f>
        <v>Colonial Botball</v>
      </c>
      <c r="B12" s="1" t="str">
        <f ca="1">IFERROR(__xludf.DUMMYFUNCTION("""COMPUTED_VALUE"""),"141")</f>
        <v>141</v>
      </c>
      <c r="C12" s="4">
        <f ca="1">IFERROR(__xludf.DUMMYFUNCTION("""COMPUTED_VALUE"""),162)</f>
        <v>162</v>
      </c>
      <c r="D12" s="4">
        <f ca="1">IFERROR(__xludf.DUMMYFUNCTION("""COMPUTED_VALUE"""),377)</f>
        <v>377</v>
      </c>
      <c r="E12" s="4">
        <f ca="1">IFERROR(__xludf.DUMMYFUNCTION("""COMPUTED_VALUE"""),387)</f>
        <v>387</v>
      </c>
      <c r="F12" s="4">
        <f ca="1">IFERROR(__xludf.DUMMYFUNCTION("""COMPUTED_VALUE"""),276)</f>
        <v>276</v>
      </c>
      <c r="G12" s="4">
        <f ca="1">IFERROR(__xludf.DUMMYFUNCTION("""COMPUTED_VALUE"""),166)</f>
        <v>166</v>
      </c>
      <c r="H12" s="4">
        <f ca="1">IFERROR(__xludf.DUMMYFUNCTION("""COMPUTED_VALUE"""),273.6)</f>
        <v>273.60000000000002</v>
      </c>
      <c r="I12" s="4">
        <f ca="1">IFERROR(__xludf.DUMMYFUNCTION("""COMPUTED_VALUE"""),11)</f>
        <v>11</v>
      </c>
      <c r="J12" s="4">
        <f ca="1">IFERROR(__xludf.DUMMYFUNCTION("""COMPUTED_VALUE"""),0.552682201589902)</f>
        <v>0.552682201589902</v>
      </c>
    </row>
    <row r="13" spans="1:10" ht="15.75" customHeight="1">
      <c r="A13" s="3" t="str">
        <f ca="1">IFERROR(__xludf.DUMMYFUNCTION("""COMPUTED_VALUE"""),"Westchester Academy for International Studies")</f>
        <v>Westchester Academy for International Studies</v>
      </c>
      <c r="B13" s="1" t="str">
        <f ca="1">IFERROR(__xludf.DUMMYFUNCTION("""COMPUTED_VALUE"""),"840")</f>
        <v>840</v>
      </c>
      <c r="C13" s="4">
        <f ca="1">IFERROR(__xludf.DUMMYFUNCTION("""COMPUTED_VALUE"""),186)</f>
        <v>186</v>
      </c>
      <c r="D13" s="4">
        <f ca="1">IFERROR(__xludf.DUMMYFUNCTION("""COMPUTED_VALUE"""),368)</f>
        <v>368</v>
      </c>
      <c r="E13" s="4">
        <f ca="1">IFERROR(__xludf.DUMMYFUNCTION("""COMPUTED_VALUE"""),339)</f>
        <v>339</v>
      </c>
      <c r="F13" s="4">
        <f ca="1">IFERROR(__xludf.DUMMYFUNCTION("""COMPUTED_VALUE"""),40)</f>
        <v>40</v>
      </c>
      <c r="G13" s="4">
        <f ca="1">IFERROR(__xludf.DUMMYFUNCTION("""COMPUTED_VALUE"""),310)</f>
        <v>310</v>
      </c>
      <c r="H13" s="4">
        <f ca="1">IFERROR(__xludf.DUMMYFUNCTION("""COMPUTED_VALUE"""),248.6)</f>
        <v>248.6</v>
      </c>
      <c r="I13" s="4">
        <f ca="1">IFERROR(__xludf.DUMMYFUNCTION("""COMPUTED_VALUE"""),12)</f>
        <v>12</v>
      </c>
      <c r="J13" s="4">
        <f ca="1">IFERROR(__xludf.DUMMYFUNCTION("""COMPUTED_VALUE"""),0.536517689180168)</f>
        <v>0.53651768918016796</v>
      </c>
    </row>
    <row r="14" spans="1:10" ht="15.75" customHeight="1">
      <c r="A14" s="3" t="str">
        <f ca="1">IFERROR(__xludf.DUMMYFUNCTION("""COMPUTED_VALUE"""),"Dead Robot Society")</f>
        <v>Dead Robot Society</v>
      </c>
      <c r="B14" s="1" t="str">
        <f ca="1">IFERROR(__xludf.DUMMYFUNCTION("""COMPUTED_VALUE"""),"6")</f>
        <v>6</v>
      </c>
      <c r="C14" s="4">
        <f ca="1">IFERROR(__xludf.DUMMYFUNCTION("""COMPUTED_VALUE"""),348)</f>
        <v>348</v>
      </c>
      <c r="D14" s="4">
        <f ca="1">IFERROR(__xludf.DUMMYFUNCTION("""COMPUTED_VALUE"""),16)</f>
        <v>16</v>
      </c>
      <c r="E14" s="4">
        <f ca="1">IFERROR(__xludf.DUMMYFUNCTION("""COMPUTED_VALUE"""),320)</f>
        <v>320</v>
      </c>
      <c r="F14" s="4">
        <f ca="1">IFERROR(__xludf.DUMMYFUNCTION("""COMPUTED_VALUE"""),118)</f>
        <v>118</v>
      </c>
      <c r="G14" s="4">
        <f ca="1">IFERROR(__xludf.DUMMYFUNCTION("""COMPUTED_VALUE"""),369)</f>
        <v>369</v>
      </c>
      <c r="H14" s="4">
        <f ca="1">IFERROR(__xludf.DUMMYFUNCTION("""COMPUTED_VALUE"""),234.2)</f>
        <v>234.2</v>
      </c>
      <c r="I14" s="4">
        <f ca="1">IFERROR(__xludf.DUMMYFUNCTION("""COMPUTED_VALUE"""),13)</f>
        <v>13</v>
      </c>
      <c r="J14" s="4">
        <f ca="1">IFERROR(__xludf.DUMMYFUNCTION("""COMPUTED_VALUE"""),0.521318041143273)</f>
        <v>0.52131804114327296</v>
      </c>
    </row>
    <row r="15" spans="1:10" ht="15.75" customHeight="1">
      <c r="A15" s="3" t="str">
        <f ca="1">IFERROR(__xludf.DUMMYFUNCTION("""COMPUTED_VALUE"""),"Noble High School")</f>
        <v>Noble High School</v>
      </c>
      <c r="B15" s="1" t="str">
        <f ca="1">IFERROR(__xludf.DUMMYFUNCTION("""COMPUTED_VALUE"""),"468")</f>
        <v>468</v>
      </c>
      <c r="C15" s="4">
        <f ca="1">IFERROR(__xludf.DUMMYFUNCTION("""COMPUTED_VALUE"""),49)</f>
        <v>49</v>
      </c>
      <c r="D15" s="4">
        <f ca="1">IFERROR(__xludf.DUMMYFUNCTION("""COMPUTED_VALUE"""),211)</f>
        <v>211</v>
      </c>
      <c r="E15" s="4">
        <f ca="1">IFERROR(__xludf.DUMMYFUNCTION("""COMPUTED_VALUE"""),152)</f>
        <v>152</v>
      </c>
      <c r="F15" s="4">
        <f ca="1">IFERROR(__xludf.DUMMYFUNCTION("""COMPUTED_VALUE"""),144)</f>
        <v>144</v>
      </c>
      <c r="G15" s="4">
        <f ca="1">IFERROR(__xludf.DUMMYFUNCTION("""COMPUTED_VALUE"""),458)</f>
        <v>458</v>
      </c>
      <c r="H15" s="4">
        <f ca="1">IFERROR(__xludf.DUMMYFUNCTION("""COMPUTED_VALUE"""),202.8)</f>
        <v>202.8</v>
      </c>
      <c r="I15" s="4">
        <f ca="1">IFERROR(__xludf.DUMMYFUNCTION("""COMPUTED_VALUE"""),14)</f>
        <v>14</v>
      </c>
      <c r="J15" s="4">
        <f ca="1">IFERROR(__xludf.DUMMYFUNCTION("""COMPUTED_VALUE"""),0.504570969112203)</f>
        <v>0.504570969112203</v>
      </c>
    </row>
    <row r="16" spans="1:10" ht="15.75" customHeight="1">
      <c r="A16" s="3" t="str">
        <f ca="1">IFERROR(__xludf.DUMMYFUNCTION("""COMPUTED_VALUE"""),"Radiant Robotics - Irvine")</f>
        <v>Radiant Robotics - Irvine</v>
      </c>
      <c r="B16" s="1" t="str">
        <f ca="1">IFERROR(__xludf.DUMMYFUNCTION("""COMPUTED_VALUE"""),"927")</f>
        <v>927</v>
      </c>
      <c r="C16" s="4">
        <f ca="1">IFERROR(__xludf.DUMMYFUNCTION("""COMPUTED_VALUE"""),260)</f>
        <v>260</v>
      </c>
      <c r="D16" s="4">
        <f ca="1">IFERROR(__xludf.DUMMYFUNCTION("""COMPUTED_VALUE"""),0)</f>
        <v>0</v>
      </c>
      <c r="E16" s="4">
        <f ca="1">IFERROR(__xludf.DUMMYFUNCTION("""COMPUTED_VALUE"""),176)</f>
        <v>176</v>
      </c>
      <c r="F16" s="4">
        <f ca="1">IFERROR(__xludf.DUMMYFUNCTION("""COMPUTED_VALUE"""),322)</f>
        <v>322</v>
      </c>
      <c r="G16" s="4">
        <f ca="1">IFERROR(__xludf.DUMMYFUNCTION("""COMPUTED_VALUE"""),182)</f>
        <v>182</v>
      </c>
      <c r="H16" s="4">
        <f ca="1">IFERROR(__xludf.DUMMYFUNCTION("""COMPUTED_VALUE"""),188)</f>
        <v>188</v>
      </c>
      <c r="I16" s="4">
        <f ca="1">IFERROR(__xludf.DUMMYFUNCTION("""COMPUTED_VALUE"""),15)</f>
        <v>15</v>
      </c>
      <c r="J16" s="4">
        <f ca="1">IFERROR(__xludf.DUMMYFUNCTION("""COMPUTED_VALUE"""),0.489334911098974)</f>
        <v>0.48933491109897398</v>
      </c>
    </row>
    <row r="17" spans="1:10" ht="15.75" customHeight="1">
      <c r="A17" s="3" t="str">
        <f ca="1">IFERROR(__xludf.DUMMYFUNCTION("""COMPUTED_VALUE"""),"Noble High School")</f>
        <v>Noble High School</v>
      </c>
      <c r="B17" s="1" t="str">
        <f ca="1">IFERROR(__xludf.DUMMYFUNCTION("""COMPUTED_VALUE"""),"720")</f>
        <v>720</v>
      </c>
      <c r="C17" s="4">
        <f ca="1">IFERROR(__xludf.DUMMYFUNCTION("""COMPUTED_VALUE"""),149)</f>
        <v>149</v>
      </c>
      <c r="D17" s="4">
        <f ca="1">IFERROR(__xludf.DUMMYFUNCTION("""COMPUTED_VALUE"""),334)</f>
        <v>334</v>
      </c>
      <c r="E17" s="4">
        <f ca="1">IFERROR(__xludf.DUMMYFUNCTION("""COMPUTED_VALUE"""),6)</f>
        <v>6</v>
      </c>
      <c r="F17" s="4">
        <f ca="1">IFERROR(__xludf.DUMMYFUNCTION("""COMPUTED_VALUE"""),59)</f>
        <v>59</v>
      </c>
      <c r="G17" s="4">
        <f ca="1">IFERROR(__xludf.DUMMYFUNCTION("""COMPUTED_VALUE"""),246)</f>
        <v>246</v>
      </c>
      <c r="H17" s="4">
        <f ca="1">IFERROR(__xludf.DUMMYFUNCTION("""COMPUTED_VALUE"""),158.8)</f>
        <v>158.80000000000001</v>
      </c>
      <c r="I17" s="4">
        <f ca="1">IFERROR(__xludf.DUMMYFUNCTION("""COMPUTED_VALUE"""),16)</f>
        <v>16</v>
      </c>
      <c r="J17" s="4">
        <f ca="1">IFERROR(__xludf.DUMMYFUNCTION("""COMPUTED_VALUE"""),0.472788093937738)</f>
        <v>0.47278809393773802</v>
      </c>
    </row>
    <row r="18" spans="1:10" ht="15.75" customHeight="1">
      <c r="A18" s="3" t="str">
        <f ca="1">IFERROR(__xludf.DUMMYFUNCTION("""COMPUTED_VALUE"""),"Malden Catholic High School - James Bond")</f>
        <v>Malden Catholic High School - James Bond</v>
      </c>
      <c r="B18" s="1" t="str">
        <f ca="1">IFERROR(__xludf.DUMMYFUNCTION("""COMPUTED_VALUE"""),"7")</f>
        <v>7</v>
      </c>
      <c r="C18" s="4">
        <f ca="1">IFERROR(__xludf.DUMMYFUNCTION("""COMPUTED_VALUE"""),299)</f>
        <v>299</v>
      </c>
      <c r="D18" s="4">
        <f ca="1">IFERROR(__xludf.DUMMYFUNCTION("""COMPUTED_VALUE"""),287)</f>
        <v>287</v>
      </c>
      <c r="E18" s="4">
        <f ca="1">IFERROR(__xludf.DUMMYFUNCTION("""COMPUTED_VALUE"""),65)</f>
        <v>65</v>
      </c>
      <c r="F18" s="4">
        <f ca="1">IFERROR(__xludf.DUMMYFUNCTION("""COMPUTED_VALUE"""),86)</f>
        <v>86</v>
      </c>
      <c r="G18" s="4">
        <f ca="1">IFERROR(__xludf.DUMMYFUNCTION("""COMPUTED_VALUE"""),55)</f>
        <v>55</v>
      </c>
      <c r="H18" s="4">
        <f ca="1">IFERROR(__xludf.DUMMYFUNCTION("""COMPUTED_VALUE"""),158.4)</f>
        <v>158.4</v>
      </c>
      <c r="I18" s="4">
        <f ca="1">IFERROR(__xludf.DUMMYFUNCTION("""COMPUTED_VALUE"""),17)</f>
        <v>17</v>
      </c>
      <c r="J18" s="4">
        <f ca="1">IFERROR(__xludf.DUMMYFUNCTION("""COMPUTED_VALUE"""),0.458862795072516)</f>
        <v>0.45886279507251598</v>
      </c>
    </row>
    <row r="19" spans="1:10" ht="15.75" customHeight="1">
      <c r="A19" s="3" t="str">
        <f ca="1">IFERROR(__xludf.DUMMYFUNCTION("""COMPUTED_VALUE"""),"Tucumcari")</f>
        <v>Tucumcari</v>
      </c>
      <c r="B19" s="1" t="str">
        <f ca="1">IFERROR(__xludf.DUMMYFUNCTION("""COMPUTED_VALUE"""),"805")</f>
        <v>805</v>
      </c>
      <c r="C19" s="4">
        <f ca="1">IFERROR(__xludf.DUMMYFUNCTION("""COMPUTED_VALUE"""),138)</f>
        <v>138</v>
      </c>
      <c r="D19" s="4">
        <f ca="1">IFERROR(__xludf.DUMMYFUNCTION("""COMPUTED_VALUE"""),108)</f>
        <v>108</v>
      </c>
      <c r="E19" s="4">
        <f ca="1">IFERROR(__xludf.DUMMYFUNCTION("""COMPUTED_VALUE"""),155)</f>
        <v>155</v>
      </c>
      <c r="F19" s="4">
        <f ca="1">IFERROR(__xludf.DUMMYFUNCTION("""COMPUTED_VALUE"""),148)</f>
        <v>148</v>
      </c>
      <c r="G19" s="4">
        <f ca="1">IFERROR(__xludf.DUMMYFUNCTION("""COMPUTED_VALUE"""),211)</f>
        <v>211</v>
      </c>
      <c r="H19" s="4">
        <f ca="1">IFERROR(__xludf.DUMMYFUNCTION("""COMPUTED_VALUE"""),152)</f>
        <v>152</v>
      </c>
      <c r="I19" s="4">
        <f ca="1">IFERROR(__xludf.DUMMYFUNCTION("""COMPUTED_VALUE"""),18)</f>
        <v>18</v>
      </c>
      <c r="J19" s="4">
        <f ca="1">IFERROR(__xludf.DUMMYFUNCTION("""COMPUTED_VALUE"""),0.444391346562291)</f>
        <v>0.44439134656229101</v>
      </c>
    </row>
    <row r="20" spans="1:10" ht="15.75" customHeight="1">
      <c r="A20" s="3" t="str">
        <f ca="1">IFERROR(__xludf.DUMMYFUNCTION("""COMPUTED_VALUE"""),"Noble Public Schools")</f>
        <v>Noble Public Schools</v>
      </c>
      <c r="B20" s="1" t="str">
        <f ca="1">IFERROR(__xludf.DUMMYFUNCTION("""COMPUTED_VALUE"""),"928")</f>
        <v>928</v>
      </c>
      <c r="C20" s="4">
        <f ca="1">IFERROR(__xludf.DUMMYFUNCTION("""COMPUTED_VALUE"""),318)</f>
        <v>318</v>
      </c>
      <c r="D20" s="4">
        <f ca="1">IFERROR(__xludf.DUMMYFUNCTION("""COMPUTED_VALUE"""),209)</f>
        <v>209</v>
      </c>
      <c r="E20" s="4">
        <f ca="1">IFERROR(__xludf.DUMMYFUNCTION("""COMPUTED_VALUE"""),43)</f>
        <v>43</v>
      </c>
      <c r="F20" s="4">
        <f ca="1">IFERROR(__xludf.DUMMYFUNCTION("""COMPUTED_VALUE"""),58)</f>
        <v>58</v>
      </c>
      <c r="G20" s="4">
        <f ca="1">IFERROR(__xludf.DUMMYFUNCTION("""COMPUTED_VALUE"""),110)</f>
        <v>110</v>
      </c>
      <c r="H20" s="4">
        <f ca="1">IFERROR(__xludf.DUMMYFUNCTION("""COMPUTED_VALUE"""),147.6)</f>
        <v>147.6</v>
      </c>
      <c r="I20" s="4">
        <f ca="1">IFERROR(__xludf.DUMMYFUNCTION("""COMPUTED_VALUE"""),19)</f>
        <v>19</v>
      </c>
      <c r="J20" s="4">
        <f ca="1">IFERROR(__xludf.DUMMYFUNCTION("""COMPUTED_VALUE"""),0.430101947933733)</f>
        <v>0.43010194793373302</v>
      </c>
    </row>
    <row r="21" spans="1:10" ht="15.75" customHeight="1">
      <c r="A21" s="3" t="str">
        <f ca="1">IFERROR(__xludf.DUMMYFUNCTION("""COMPUTED_VALUE"""),"Radiant Robotics - Arcadia")</f>
        <v>Radiant Robotics - Arcadia</v>
      </c>
      <c r="B21" s="1" t="str">
        <f ca="1">IFERROR(__xludf.DUMMYFUNCTION("""COMPUTED_VALUE"""),"813")</f>
        <v>813</v>
      </c>
      <c r="C21" s="4">
        <f ca="1">IFERROR(__xludf.DUMMYFUNCTION("""COMPUTED_VALUE"""),7)</f>
        <v>7</v>
      </c>
      <c r="D21" s="4">
        <f ca="1">IFERROR(__xludf.DUMMYFUNCTION("""COMPUTED_VALUE"""),77)</f>
        <v>77</v>
      </c>
      <c r="E21" s="4">
        <f ca="1">IFERROR(__xludf.DUMMYFUNCTION("""COMPUTED_VALUE"""),148)</f>
        <v>148</v>
      </c>
      <c r="F21" s="4">
        <f ca="1">IFERROR(__xludf.DUMMYFUNCTION("""COMPUTED_VALUE"""),215)</f>
        <v>215</v>
      </c>
      <c r="G21" s="4">
        <f ca="1">IFERROR(__xludf.DUMMYFUNCTION("""COMPUTED_VALUE"""),200)</f>
        <v>200</v>
      </c>
      <c r="H21" s="4">
        <f ca="1">IFERROR(__xludf.DUMMYFUNCTION("""COMPUTED_VALUE"""),128)</f>
        <v>128</v>
      </c>
      <c r="I21" s="4">
        <f ca="1">IFERROR(__xludf.DUMMYFUNCTION("""COMPUTED_VALUE"""),20)</f>
        <v>20</v>
      </c>
      <c r="J21" s="4">
        <f ca="1">IFERROR(__xludf.DUMMYFUNCTION("""COMPUTED_VALUE"""),0.414428970204502)</f>
        <v>0.41442897020450198</v>
      </c>
    </row>
    <row r="22" spans="1:10" ht="15.75" customHeight="1">
      <c r="A22" s="3" t="str">
        <f ca="1">IFERROR(__xludf.DUMMYFUNCTION("""COMPUTED_VALUE"""),"Westchester Academy for International Studies")</f>
        <v>Westchester Academy for International Studies</v>
      </c>
      <c r="B22" s="1" t="str">
        <f ca="1">IFERROR(__xludf.DUMMYFUNCTION("""COMPUTED_VALUE"""),"151")</f>
        <v>151</v>
      </c>
      <c r="C22" s="4">
        <f ca="1">IFERROR(__xludf.DUMMYFUNCTION("""COMPUTED_VALUE"""),63)</f>
        <v>63</v>
      </c>
      <c r="D22" s="4">
        <f ca="1">IFERROR(__xludf.DUMMYFUNCTION("""COMPUTED_VALUE"""),267)</f>
        <v>267</v>
      </c>
      <c r="E22" s="4">
        <f ca="1">IFERROR(__xludf.DUMMYFUNCTION("""COMPUTED_VALUE"""),153)</f>
        <v>153</v>
      </c>
      <c r="F22" s="4">
        <f ca="1">IFERROR(__xludf.DUMMYFUNCTION("""COMPUTED_VALUE"""),124)</f>
        <v>124</v>
      </c>
      <c r="G22" s="4">
        <f ca="1">IFERROR(__xludf.DUMMYFUNCTION("""COMPUTED_VALUE"""),32)</f>
        <v>32</v>
      </c>
      <c r="H22" s="4">
        <f ca="1">IFERROR(__xludf.DUMMYFUNCTION("""COMPUTED_VALUE"""),127.8)</f>
        <v>127.8</v>
      </c>
      <c r="I22" s="4">
        <f ca="1">IFERROR(__xludf.DUMMYFUNCTION("""COMPUTED_VALUE"""),21)</f>
        <v>21</v>
      </c>
      <c r="J22" s="4">
        <f ca="1">IFERROR(__xludf.DUMMYFUNCTION("""COMPUTED_VALUE"""),0.400521876327447)</f>
        <v>0.40052187632744701</v>
      </c>
    </row>
    <row r="23" spans="1:10" ht="15.75" customHeight="1">
      <c r="A23" s="3" t="str">
        <f ca="1">IFERROR(__xludf.DUMMYFUNCTION("""COMPUTED_VALUE"""),"Jerome High School - Golden Girls")</f>
        <v>Jerome High School - Golden Girls</v>
      </c>
      <c r="B23" s="1" t="str">
        <f ca="1">IFERROR(__xludf.DUMMYFUNCTION("""COMPUTED_VALUE"""),"821")</f>
        <v>821</v>
      </c>
      <c r="C23" s="4">
        <f ca="1">IFERROR(__xludf.DUMMYFUNCTION("""COMPUTED_VALUE"""),28)</f>
        <v>28</v>
      </c>
      <c r="D23" s="4">
        <f ca="1">IFERROR(__xludf.DUMMYFUNCTION("""COMPUTED_VALUE"""),139)</f>
        <v>139</v>
      </c>
      <c r="E23" s="4">
        <f ca="1">IFERROR(__xludf.DUMMYFUNCTION("""COMPUTED_VALUE"""),137)</f>
        <v>137</v>
      </c>
      <c r="F23" s="4">
        <f ca="1">IFERROR(__xludf.DUMMYFUNCTION("""COMPUTED_VALUE"""),30)</f>
        <v>30</v>
      </c>
      <c r="G23" s="4">
        <f ca="1">IFERROR(__xludf.DUMMYFUNCTION("""COMPUTED_VALUE"""),127)</f>
        <v>127</v>
      </c>
      <c r="H23" s="4">
        <f ca="1">IFERROR(__xludf.DUMMYFUNCTION("""COMPUTED_VALUE"""),92.2)</f>
        <v>92.2</v>
      </c>
      <c r="I23" s="4">
        <f ca="1">IFERROR(__xludf.DUMMYFUNCTION("""COMPUTED_VALUE"""),22)</f>
        <v>22</v>
      </c>
      <c r="J23" s="4">
        <f ca="1">IFERROR(__xludf.DUMMYFUNCTION("""COMPUTED_VALUE"""),0.383392499544875)</f>
        <v>0.38339249954487498</v>
      </c>
    </row>
    <row r="24" spans="1:10" ht="15.75" customHeight="1">
      <c r="A24" s="3" t="str">
        <f ca="1">IFERROR(__xludf.DUMMYFUNCTION("""COMPUTED_VALUE"""),"1010 Post Explorer")</f>
        <v>1010 Post Explorer</v>
      </c>
      <c r="B24" s="1" t="str">
        <f ca="1">IFERROR(__xludf.DUMMYFUNCTION("""COMPUTED_VALUE"""),"160")</f>
        <v>160</v>
      </c>
      <c r="C24" s="4">
        <f ca="1">IFERROR(__xludf.DUMMYFUNCTION("""COMPUTED_VALUE"""),34)</f>
        <v>34</v>
      </c>
      <c r="D24" s="4">
        <f ca="1">IFERROR(__xludf.DUMMYFUNCTION("""COMPUTED_VALUE"""),23)</f>
        <v>23</v>
      </c>
      <c r="E24" s="4">
        <f ca="1">IFERROR(__xludf.DUMMYFUNCTION("""COMPUTED_VALUE"""),108)</f>
        <v>108</v>
      </c>
      <c r="F24" s="4">
        <f ca="1">IFERROR(__xludf.DUMMYFUNCTION("""COMPUTED_VALUE"""),77)</f>
        <v>77</v>
      </c>
      <c r="G24" s="4">
        <f ca="1">IFERROR(__xludf.DUMMYFUNCTION("""COMPUTED_VALUE"""),147)</f>
        <v>147</v>
      </c>
      <c r="H24" s="4">
        <f ca="1">IFERROR(__xludf.DUMMYFUNCTION("""COMPUTED_VALUE"""),77.8)</f>
        <v>77.8</v>
      </c>
      <c r="I24" s="4">
        <f ca="1">IFERROR(__xludf.DUMMYFUNCTION("""COMPUTED_VALUE"""),23)</f>
        <v>23</v>
      </c>
      <c r="J24" s="4">
        <f ca="1">IFERROR(__xludf.DUMMYFUNCTION("""COMPUTED_VALUE"""),0.368192851507979)</f>
        <v>0.36819285150797898</v>
      </c>
    </row>
    <row r="25" spans="1:10" ht="16.8">
      <c r="A25" s="3" t="str">
        <f ca="1">IFERROR(__xludf.DUMMYFUNCTION("""COMPUTED_VALUE"""),"La Quinta Middle School")</f>
        <v>La Quinta Middle School</v>
      </c>
      <c r="B25" s="1" t="str">
        <f ca="1">IFERROR(__xludf.DUMMYFUNCTION("""COMPUTED_VALUE"""),"843")</f>
        <v>843</v>
      </c>
      <c r="C25" s="4">
        <f ca="1">IFERROR(__xludf.DUMMYFUNCTION("""COMPUTED_VALUE"""),62)</f>
        <v>62</v>
      </c>
      <c r="D25" s="4">
        <f ca="1">IFERROR(__xludf.DUMMYFUNCTION("""COMPUTED_VALUE"""),148)</f>
        <v>148</v>
      </c>
      <c r="E25" s="4">
        <f ca="1">IFERROR(__xludf.DUMMYFUNCTION("""COMPUTED_VALUE"""),57)</f>
        <v>57</v>
      </c>
      <c r="F25" s="4">
        <f ca="1">IFERROR(__xludf.DUMMYFUNCTION("""COMPUTED_VALUE"""),38)</f>
        <v>38</v>
      </c>
      <c r="G25" s="4">
        <f ca="1">IFERROR(__xludf.DUMMYFUNCTION("""COMPUTED_VALUE"""),66)</f>
        <v>66</v>
      </c>
      <c r="H25" s="4">
        <f ca="1">IFERROR(__xludf.DUMMYFUNCTION("""COMPUTED_VALUE"""),74.2)</f>
        <v>74.2</v>
      </c>
      <c r="I25" s="4">
        <f ca="1">IFERROR(__xludf.DUMMYFUNCTION("""COMPUTED_VALUE"""),24)</f>
        <v>24</v>
      </c>
      <c r="J25" s="4">
        <f ca="1">IFERROR(__xludf.DUMMYFUNCTION("""COMPUTED_VALUE"""),0.353976272832089)</f>
        <v>0.35397627283208899</v>
      </c>
    </row>
    <row r="26" spans="1:10" ht="16.8">
      <c r="A26" s="3" t="str">
        <f ca="1">IFERROR(__xludf.DUMMYFUNCTION("""COMPUTED_VALUE"""),"Jerome High School - Frog Fleet")</f>
        <v>Jerome High School - Frog Fleet</v>
      </c>
      <c r="B26" s="1" t="str">
        <f ca="1">IFERROR(__xludf.DUMMYFUNCTION("""COMPUTED_VALUE"""),"822")</f>
        <v>822</v>
      </c>
      <c r="C26" s="4">
        <f ca="1">IFERROR(__xludf.DUMMYFUNCTION("""COMPUTED_VALUE"""),16)</f>
        <v>16</v>
      </c>
      <c r="D26" s="4">
        <f ca="1">IFERROR(__xludf.DUMMYFUNCTION("""COMPUTED_VALUE"""),25)</f>
        <v>25</v>
      </c>
      <c r="E26" s="4">
        <f ca="1">IFERROR(__xludf.DUMMYFUNCTION("""COMPUTED_VALUE"""),60)</f>
        <v>60</v>
      </c>
      <c r="F26" s="4">
        <f ca="1">IFERROR(__xludf.DUMMYFUNCTION("""COMPUTED_VALUE"""),28)</f>
        <v>28</v>
      </c>
      <c r="G26" s="4">
        <f ca="1">IFERROR(__xludf.DUMMYFUNCTION("""COMPUTED_VALUE"""),233)</f>
        <v>233</v>
      </c>
      <c r="H26" s="4">
        <f ca="1">IFERROR(__xludf.DUMMYFUNCTION("""COMPUTED_VALUE"""),72.4)</f>
        <v>72.400000000000006</v>
      </c>
      <c r="I26" s="4">
        <f ca="1">IFERROR(__xludf.DUMMYFUNCTION("""COMPUTED_VALUE"""),25)</f>
        <v>25</v>
      </c>
      <c r="J26" s="4">
        <f ca="1">IFERROR(__xludf.DUMMYFUNCTION("""COMPUTED_VALUE"""),0.339923539049699)</f>
        <v>0.33992353904969902</v>
      </c>
    </row>
    <row r="27" spans="1:10" ht="16.8">
      <c r="A27" s="3" t="str">
        <f ca="1">IFERROR(__xludf.DUMMYFUNCTION("""COMPUTED_VALUE"""),"Norman Advanced Robotics")</f>
        <v>Norman Advanced Robotics</v>
      </c>
      <c r="B27" s="1" t="str">
        <f ca="1">IFERROR(__xludf.DUMMYFUNCTION("""COMPUTED_VALUE"""),"113")</f>
        <v>113</v>
      </c>
      <c r="C27" s="4">
        <f ca="1">IFERROR(__xludf.DUMMYFUNCTION("""COMPUTED_VALUE"""),53)</f>
        <v>53</v>
      </c>
      <c r="D27" s="4">
        <f ca="1">IFERROR(__xludf.DUMMYFUNCTION("""COMPUTED_VALUE"""),12)</f>
        <v>12</v>
      </c>
      <c r="E27" s="4">
        <f ca="1">IFERROR(__xludf.DUMMYFUNCTION("""COMPUTED_VALUE"""),51)</f>
        <v>51</v>
      </c>
      <c r="F27" s="4">
        <f ca="1">IFERROR(__xludf.DUMMYFUNCTION("""COMPUTED_VALUE"""),26)</f>
        <v>26</v>
      </c>
      <c r="G27" s="4">
        <f ca="1">IFERROR(__xludf.DUMMYFUNCTION("""COMPUTED_VALUE"""),218)</f>
        <v>218</v>
      </c>
      <c r="H27" s="4">
        <f ca="1">IFERROR(__xludf.DUMMYFUNCTION("""COMPUTED_VALUE"""),72)</f>
        <v>72</v>
      </c>
      <c r="I27" s="4">
        <f ca="1">IFERROR(__xludf.DUMMYFUNCTION("""COMPUTED_VALUE"""),26)</f>
        <v>26</v>
      </c>
      <c r="J27" s="4">
        <f ca="1">IFERROR(__xludf.DUMMYFUNCTION("""COMPUTED_VALUE"""),0.325998240184477)</f>
        <v>0.32599824018447698</v>
      </c>
    </row>
    <row r="28" spans="1:10" ht="16.8">
      <c r="A28" s="3" t="str">
        <f ca="1">IFERROR(__xludf.DUMMYFUNCTION("""COMPUTED_VALUE"""),"Stratford")</f>
        <v>Stratford</v>
      </c>
      <c r="B28" s="1" t="str">
        <f ca="1">IFERROR(__xludf.DUMMYFUNCTION("""COMPUTED_VALUE"""),"828")</f>
        <v>828</v>
      </c>
      <c r="C28" s="4">
        <f ca="1">IFERROR(__xludf.DUMMYFUNCTION("""COMPUTED_VALUE"""),69)</f>
        <v>69</v>
      </c>
      <c r="D28" s="4">
        <f ca="1">IFERROR(__xludf.DUMMYFUNCTION("""COMPUTED_VALUE"""),46)</f>
        <v>46</v>
      </c>
      <c r="E28" s="4">
        <f ca="1">IFERROR(__xludf.DUMMYFUNCTION("""COMPUTED_VALUE"""),86)</f>
        <v>86</v>
      </c>
      <c r="F28" s="4">
        <f ca="1">IFERROR(__xludf.DUMMYFUNCTION("""COMPUTED_VALUE"""),48)</f>
        <v>48</v>
      </c>
      <c r="G28" s="4">
        <f ca="1">IFERROR(__xludf.DUMMYFUNCTION("""COMPUTED_VALUE"""),109)</f>
        <v>109</v>
      </c>
      <c r="H28" s="4">
        <f ca="1">IFERROR(__xludf.DUMMYFUNCTION("""COMPUTED_VALUE"""),71.6)</f>
        <v>71.599999999999994</v>
      </c>
      <c r="I28" s="4">
        <f ca="1">IFERROR(__xludf.DUMMYFUNCTION("""COMPUTED_VALUE"""),27)</f>
        <v>27</v>
      </c>
      <c r="J28" s="4">
        <f ca="1">IFERROR(__xludf.DUMMYFUNCTION("""COMPUTED_VALUE"""),0.312072941319254)</f>
        <v>0.312072941319254</v>
      </c>
    </row>
    <row r="29" spans="1:10" ht="16.8">
      <c r="A29" s="3" t="str">
        <f ca="1">IFERROR(__xludf.DUMMYFUNCTION("""COMPUTED_VALUE"""),"Galileo STEM Academy")</f>
        <v>Galileo STEM Academy</v>
      </c>
      <c r="B29" s="1" t="str">
        <f ca="1">IFERROR(__xludf.DUMMYFUNCTION("""COMPUTED_VALUE"""),"752")</f>
        <v>752</v>
      </c>
      <c r="C29" s="4">
        <f ca="1">IFERROR(__xludf.DUMMYFUNCTION("""COMPUTED_VALUE"""),31)</f>
        <v>31</v>
      </c>
      <c r="D29" s="4">
        <f ca="1">IFERROR(__xludf.DUMMYFUNCTION("""COMPUTED_VALUE"""),54)</f>
        <v>54</v>
      </c>
      <c r="E29" s="4">
        <f ca="1">IFERROR(__xludf.DUMMYFUNCTION("""COMPUTED_VALUE"""),159)</f>
        <v>159</v>
      </c>
      <c r="F29" s="4">
        <f ca="1">IFERROR(__xludf.DUMMYFUNCTION("""COMPUTED_VALUE"""),64)</f>
        <v>64</v>
      </c>
      <c r="G29" s="4">
        <f ca="1">IFERROR(__xludf.DUMMYFUNCTION("""COMPUTED_VALUE"""),9)</f>
        <v>9</v>
      </c>
      <c r="H29" s="4">
        <f ca="1">IFERROR(__xludf.DUMMYFUNCTION("""COMPUTED_VALUE"""),63.4)</f>
        <v>63.4</v>
      </c>
      <c r="I29" s="4">
        <f ca="1">IFERROR(__xludf.DUMMYFUNCTION("""COMPUTED_VALUE"""),28)</f>
        <v>28</v>
      </c>
      <c r="J29" s="4">
        <f ca="1">IFERROR(__xludf.DUMMYFUNCTION("""COMPUTED_VALUE"""),0.297437647915528)</f>
        <v>0.29743764791552801</v>
      </c>
    </row>
    <row r="30" spans="1:10" ht="16.8">
      <c r="A30" s="3" t="str">
        <f ca="1">IFERROR(__xludf.DUMMYFUNCTION("""COMPUTED_VALUE"""),"Galileo STEM Academy")</f>
        <v>Galileo STEM Academy</v>
      </c>
      <c r="B30" s="1" t="str">
        <f ca="1">IFERROR(__xludf.DUMMYFUNCTION("""COMPUTED_VALUE"""),"700")</f>
        <v>700</v>
      </c>
      <c r="C30" s="4">
        <f ca="1">IFERROR(__xludf.DUMMYFUNCTION("""COMPUTED_VALUE"""),47)</f>
        <v>47</v>
      </c>
      <c r="D30" s="4">
        <f ca="1">IFERROR(__xludf.DUMMYFUNCTION("""COMPUTED_VALUE"""),31)</f>
        <v>31</v>
      </c>
      <c r="E30" s="4">
        <f ca="1">IFERROR(__xludf.DUMMYFUNCTION("""COMPUTED_VALUE"""),116)</f>
        <v>116</v>
      </c>
      <c r="F30" s="4">
        <f ca="1">IFERROR(__xludf.DUMMYFUNCTION("""COMPUTED_VALUE"""),57)</f>
        <v>57</v>
      </c>
      <c r="G30" s="4">
        <f ca="1">IFERROR(__xludf.DUMMYFUNCTION("""COMPUTED_VALUE"""),53)</f>
        <v>53</v>
      </c>
      <c r="H30" s="4">
        <f ca="1">IFERROR(__xludf.DUMMYFUNCTION("""COMPUTED_VALUE"""),60.8)</f>
        <v>60.8</v>
      </c>
      <c r="I30" s="4">
        <f ca="1">IFERROR(__xludf.DUMMYFUNCTION("""COMPUTED_VALUE"""),29)</f>
        <v>29</v>
      </c>
      <c r="J30" s="4">
        <f ca="1">IFERROR(__xludf.DUMMYFUNCTION("""COMPUTED_VALUE"""),0.283312094180472)</f>
        <v>0.28331209418047199</v>
      </c>
    </row>
    <row r="31" spans="1:10" ht="16.8">
      <c r="A31" s="3" t="str">
        <f ca="1">IFERROR(__xludf.DUMMYFUNCTION("""COMPUTED_VALUE"""),"La Quinta High School")</f>
        <v>La Quinta High School</v>
      </c>
      <c r="B31" s="1" t="str">
        <f ca="1">IFERROR(__xludf.DUMMYFUNCTION("""COMPUTED_VALUE"""),"844")</f>
        <v>844</v>
      </c>
      <c r="C31" s="4">
        <f ca="1">IFERROR(__xludf.DUMMYFUNCTION("""COMPUTED_VALUE"""),35)</f>
        <v>35</v>
      </c>
      <c r="D31" s="4">
        <f ca="1">IFERROR(__xludf.DUMMYFUNCTION("""COMPUTED_VALUE"""),73)</f>
        <v>73</v>
      </c>
      <c r="E31" s="4">
        <f ca="1">IFERROR(__xludf.DUMMYFUNCTION("""COMPUTED_VALUE"""),64)</f>
        <v>64</v>
      </c>
      <c r="F31" s="4">
        <f ca="1">IFERROR(__xludf.DUMMYFUNCTION("""COMPUTED_VALUE"""),110)</f>
        <v>110</v>
      </c>
      <c r="G31" s="4">
        <f ca="1">IFERROR(__xludf.DUMMYFUNCTION("""COMPUTED_VALUE"""),17)</f>
        <v>17</v>
      </c>
      <c r="H31" s="4">
        <f ca="1">IFERROR(__xludf.DUMMYFUNCTION("""COMPUTED_VALUE"""),59.8)</f>
        <v>59.8</v>
      </c>
      <c r="I31" s="4">
        <f ca="1">IFERROR(__xludf.DUMMYFUNCTION("""COMPUTED_VALUE"""),30)</f>
        <v>30</v>
      </c>
      <c r="J31" s="4">
        <f ca="1">IFERROR(__xludf.DUMMYFUNCTION("""COMPUTED_VALUE"""),0.269332180350749)</f>
        <v>0.26933218035074902</v>
      </c>
    </row>
    <row r="32" spans="1:10" ht="16.8">
      <c r="A32" s="3" t="str">
        <f ca="1">IFERROR(__xludf.DUMMYFUNCTION("""COMPUTED_VALUE"""),"Great Mills High School")</f>
        <v>Great Mills High School</v>
      </c>
      <c r="B32" s="1" t="str">
        <f ca="1">IFERROR(__xludf.DUMMYFUNCTION("""COMPUTED_VALUE"""),"504")</f>
        <v>504</v>
      </c>
      <c r="C32" s="4">
        <f ca="1">IFERROR(__xludf.DUMMYFUNCTION("""COMPUTED_VALUE"""),39)</f>
        <v>39</v>
      </c>
      <c r="D32" s="4">
        <f ca="1">IFERROR(__xludf.DUMMYFUNCTION("""COMPUTED_VALUE"""),72)</f>
        <v>72</v>
      </c>
      <c r="E32" s="4">
        <f ca="1">IFERROR(__xludf.DUMMYFUNCTION("""COMPUTED_VALUE"""),34)</f>
        <v>34</v>
      </c>
      <c r="F32" s="4">
        <f ca="1">IFERROR(__xludf.DUMMYFUNCTION("""COMPUTED_VALUE"""),76)</f>
        <v>76</v>
      </c>
      <c r="G32" s="4">
        <f ca="1">IFERROR(__xludf.DUMMYFUNCTION("""COMPUTED_VALUE"""),61)</f>
        <v>61</v>
      </c>
      <c r="H32" s="4">
        <f ca="1">IFERROR(__xludf.DUMMYFUNCTION("""COMPUTED_VALUE"""),56.4)</f>
        <v>56.4</v>
      </c>
      <c r="I32" s="4">
        <f ca="1">IFERROR(__xludf.DUMMYFUNCTION("""COMPUTED_VALUE"""),31)</f>
        <v>31</v>
      </c>
      <c r="J32" s="4">
        <f ca="1">IFERROR(__xludf.DUMMYFUNCTION("""COMPUTED_VALUE"""),0.255133806663025)</f>
        <v>0.25513380666302499</v>
      </c>
    </row>
    <row r="33" spans="1:10" ht="16.8">
      <c r="A33" s="3" t="str">
        <f ca="1">IFERROR(__xludf.DUMMYFUNCTION("""COMPUTED_VALUE"""),"Curtis Inge Middle School")</f>
        <v>Curtis Inge Middle School</v>
      </c>
      <c r="B33" s="1" t="str">
        <f ca="1">IFERROR(__xludf.DUMMYFUNCTION("""COMPUTED_VALUE"""),"711")</f>
        <v>711</v>
      </c>
      <c r="C33" s="4">
        <f ca="1">IFERROR(__xludf.DUMMYFUNCTION("""COMPUTED_VALUE"""),29)</f>
        <v>29</v>
      </c>
      <c r="D33" s="4">
        <f ca="1">IFERROR(__xludf.DUMMYFUNCTION("""COMPUTED_VALUE"""),148)</f>
        <v>148</v>
      </c>
      <c r="E33" s="4">
        <f ca="1">IFERROR(__xludf.DUMMYFUNCTION("""COMPUTED_VALUE"""),28)</f>
        <v>28</v>
      </c>
      <c r="F33" s="4">
        <f ca="1">IFERROR(__xludf.DUMMYFUNCTION("""COMPUTED_VALUE"""),6)</f>
        <v>6</v>
      </c>
      <c r="G33" s="4">
        <f ca="1">IFERROR(__xludf.DUMMYFUNCTION("""COMPUTED_VALUE"""),58)</f>
        <v>58</v>
      </c>
      <c r="H33" s="4">
        <f ca="1">IFERROR(__xludf.DUMMYFUNCTION("""COMPUTED_VALUE"""),53.8)</f>
        <v>53.8</v>
      </c>
      <c r="I33" s="4">
        <f ca="1">IFERROR(__xludf.DUMMYFUNCTION("""COMPUTED_VALUE"""),32)</f>
        <v>32</v>
      </c>
      <c r="J33" s="4">
        <f ca="1">IFERROR(__xludf.DUMMYFUNCTION("""COMPUTED_VALUE"""),0.241008252927968)</f>
        <v>0.24100825292796799</v>
      </c>
    </row>
    <row r="34" spans="1:10" ht="16.8">
      <c r="A34" s="3" t="str">
        <f ca="1">IFERROR(__xludf.DUMMYFUNCTION("""COMPUTED_VALUE"""),"Great Mills High School")</f>
        <v>Great Mills High School</v>
      </c>
      <c r="B34" s="1" t="str">
        <f ca="1">IFERROR(__xludf.DUMMYFUNCTION("""COMPUTED_VALUE"""),"877")</f>
        <v>877</v>
      </c>
      <c r="C34" s="4">
        <f ca="1">IFERROR(__xludf.DUMMYFUNCTION("""COMPUTED_VALUE"""),10)</f>
        <v>10</v>
      </c>
      <c r="D34" s="4">
        <f ca="1">IFERROR(__xludf.DUMMYFUNCTION("""COMPUTED_VALUE"""),163)</f>
        <v>163</v>
      </c>
      <c r="E34" s="4">
        <f ca="1">IFERROR(__xludf.DUMMYFUNCTION("""COMPUTED_VALUE"""),24)</f>
        <v>24</v>
      </c>
      <c r="F34" s="4">
        <f ca="1">IFERROR(__xludf.DUMMYFUNCTION("""COMPUTED_VALUE"""),22)</f>
        <v>22</v>
      </c>
      <c r="G34" s="4">
        <f ca="1">IFERROR(__xludf.DUMMYFUNCTION("""COMPUTED_VALUE"""),35)</f>
        <v>35</v>
      </c>
      <c r="H34" s="4">
        <f ca="1">IFERROR(__xludf.DUMMYFUNCTION("""COMPUTED_VALUE"""),50.8)</f>
        <v>50.8</v>
      </c>
      <c r="I34" s="4">
        <f ca="1">IFERROR(__xludf.DUMMYFUNCTION("""COMPUTED_VALUE"""),33)</f>
        <v>33</v>
      </c>
      <c r="J34" s="4">
        <f ca="1">IFERROR(__xludf.DUMMYFUNCTION("""COMPUTED_VALUE"""),0.226846289216578)</f>
        <v>0.22684628921657801</v>
      </c>
    </row>
    <row r="35" spans="1:10" ht="16.8">
      <c r="A35" s="3" t="str">
        <f ca="1">IFERROR(__xludf.DUMMYFUNCTION("""COMPUTED_VALUE"""),"Jerome Middle School - Cosmic Rangers")</f>
        <v>Jerome Middle School - Cosmic Rangers</v>
      </c>
      <c r="B35" s="1" t="str">
        <f ca="1">IFERROR(__xludf.DUMMYFUNCTION("""COMPUTED_VALUE"""),"735")</f>
        <v>735</v>
      </c>
      <c r="C35" s="4">
        <f ca="1">IFERROR(__xludf.DUMMYFUNCTION("""COMPUTED_VALUE"""),21)</f>
        <v>21</v>
      </c>
      <c r="D35" s="4">
        <f ca="1">IFERROR(__xludf.DUMMYFUNCTION("""COMPUTED_VALUE"""),13)</f>
        <v>13</v>
      </c>
      <c r="E35" s="4">
        <f ca="1">IFERROR(__xludf.DUMMYFUNCTION("""COMPUTED_VALUE"""),33)</f>
        <v>33</v>
      </c>
      <c r="F35" s="4">
        <f ca="1">IFERROR(__xludf.DUMMYFUNCTION("""COMPUTED_VALUE"""),15)</f>
        <v>15</v>
      </c>
      <c r="G35" s="4">
        <f ca="1">IFERROR(__xludf.DUMMYFUNCTION("""COMPUTED_VALUE"""),164)</f>
        <v>164</v>
      </c>
      <c r="H35" s="4">
        <f ca="1">IFERROR(__xludf.DUMMYFUNCTION("""COMPUTED_VALUE"""),49.2)</f>
        <v>49.2</v>
      </c>
      <c r="I35" s="4">
        <f ca="1">IFERROR(__xludf.DUMMYFUNCTION("""COMPUTED_VALUE"""),34)</f>
        <v>34</v>
      </c>
      <c r="J35" s="4">
        <f ca="1">IFERROR(__xludf.DUMMYFUNCTION("""COMPUTED_VALUE"""),0.212811760422355)</f>
        <v>0.212811760422355</v>
      </c>
    </row>
    <row r="36" spans="1:10" ht="16.8">
      <c r="A36" s="3" t="str">
        <f ca="1">IFERROR(__xludf.DUMMYFUNCTION("""COMPUTED_VALUE"""),"Beanstalk International Bilingual School-Unicorn")</f>
        <v>Beanstalk International Bilingual School-Unicorn</v>
      </c>
      <c r="B36" s="1" t="str">
        <f ca="1">IFERROR(__xludf.DUMMYFUNCTION("""COMPUTED_VALUE"""),"662")</f>
        <v>662</v>
      </c>
      <c r="C36" s="4">
        <f ca="1">IFERROR(__xludf.DUMMYFUNCTION("""COMPUTED_VALUE"""),92)</f>
        <v>92</v>
      </c>
      <c r="D36" s="4">
        <f ca="1">IFERROR(__xludf.DUMMYFUNCTION("""COMPUTED_VALUE"""),105)</f>
        <v>105</v>
      </c>
      <c r="E36" s="4">
        <f ca="1">IFERROR(__xludf.DUMMYFUNCTION("""COMPUTED_VALUE"""),0)</f>
        <v>0</v>
      </c>
      <c r="F36" s="4">
        <f ca="1">IFERROR(__xludf.DUMMYFUNCTION("""COMPUTED_VALUE"""),8)</f>
        <v>8</v>
      </c>
      <c r="G36" s="4">
        <f ca="1">IFERROR(__xludf.DUMMYFUNCTION("""COMPUTED_VALUE"""),92)</f>
        <v>92</v>
      </c>
      <c r="H36" s="4">
        <f ca="1">IFERROR(__xludf.DUMMYFUNCTION("""COMPUTED_VALUE"""),41)</f>
        <v>41</v>
      </c>
      <c r="I36" s="4">
        <f ca="1">IFERROR(__xludf.DUMMYFUNCTION("""COMPUTED_VALUE"""),35)</f>
        <v>35</v>
      </c>
      <c r="J36" s="4">
        <f ca="1">IFERROR(__xludf.DUMMYFUNCTION("""COMPUTED_VALUE"""),0.198176467018629)</f>
        <v>0.19817646701862901</v>
      </c>
    </row>
    <row r="37" spans="1:10" ht="16.8">
      <c r="A37" s="3" t="str">
        <f ca="1">IFERROR(__xludf.DUMMYFUNCTION("""COMPUTED_VALUE"""),"Tucumcari")</f>
        <v>Tucumcari</v>
      </c>
      <c r="B37" s="1" t="str">
        <f ca="1">IFERROR(__xludf.DUMMYFUNCTION("""COMPUTED_VALUE"""),"804")</f>
        <v>804</v>
      </c>
      <c r="C37" s="4">
        <f ca="1">IFERROR(__xludf.DUMMYFUNCTION("""COMPUTED_VALUE"""),15)</f>
        <v>15</v>
      </c>
      <c r="D37" s="4">
        <f ca="1">IFERROR(__xludf.DUMMYFUNCTION("""COMPUTED_VALUE"""),51)</f>
        <v>51</v>
      </c>
      <c r="E37" s="4">
        <f ca="1">IFERROR(__xludf.DUMMYFUNCTION("""COMPUTED_VALUE"""),47)</f>
        <v>47</v>
      </c>
      <c r="F37" s="4">
        <f ca="1">IFERROR(__xludf.DUMMYFUNCTION("""COMPUTED_VALUE"""),40)</f>
        <v>40</v>
      </c>
      <c r="G37" s="4">
        <f ca="1">IFERROR(__xludf.DUMMYFUNCTION("""COMPUTED_VALUE"""),40)</f>
        <v>40</v>
      </c>
      <c r="H37" s="4">
        <f ca="1">IFERROR(__xludf.DUMMYFUNCTION("""COMPUTED_VALUE"""),38.6)</f>
        <v>38.6</v>
      </c>
      <c r="I37" s="4">
        <f ca="1">IFERROR(__xludf.DUMMYFUNCTION("""COMPUTED_VALUE"""),36)</f>
        <v>36</v>
      </c>
      <c r="J37" s="4">
        <f ca="1">IFERROR(__xludf.DUMMYFUNCTION("""COMPUTED_VALUE"""),0.184069118271739)</f>
        <v>0.184069118271739</v>
      </c>
    </row>
    <row r="38" spans="1:10" ht="16.8">
      <c r="A38" s="3" t="str">
        <f ca="1">IFERROR(__xludf.DUMMYFUNCTION("""COMPUTED_VALUE"""),"Rhoades")</f>
        <v>Rhoades</v>
      </c>
      <c r="B38" s="1" t="str">
        <f ca="1">IFERROR(__xludf.DUMMYFUNCTION("""COMPUTED_VALUE"""),"340")</f>
        <v>340</v>
      </c>
      <c r="C38" s="4">
        <f ca="1">IFERROR(__xludf.DUMMYFUNCTION("""COMPUTED_VALUE"""),161)</f>
        <v>161</v>
      </c>
      <c r="D38" s="4">
        <f ca="1">IFERROR(__xludf.DUMMYFUNCTION("""COMPUTED_VALUE"""),9)</f>
        <v>9</v>
      </c>
      <c r="E38" s="4">
        <f ca="1">IFERROR(__xludf.DUMMYFUNCTION("""COMPUTED_VALUE"""),7)</f>
        <v>7</v>
      </c>
      <c r="F38" s="4">
        <f ca="1">IFERROR(__xludf.DUMMYFUNCTION("""COMPUTED_VALUE"""),5)</f>
        <v>5</v>
      </c>
      <c r="G38" s="4">
        <f ca="1">IFERROR(__xludf.DUMMYFUNCTION("""COMPUTED_VALUE"""),9)</f>
        <v>9</v>
      </c>
      <c r="H38" s="4">
        <f ca="1">IFERROR(__xludf.DUMMYFUNCTION("""COMPUTED_VALUE"""),38.2)</f>
        <v>38.200000000000003</v>
      </c>
      <c r="I38" s="4">
        <f ca="1">IFERROR(__xludf.DUMMYFUNCTION("""COMPUTED_VALUE"""),37)</f>
        <v>37</v>
      </c>
      <c r="J38" s="4">
        <f ca="1">IFERROR(__xludf.DUMMYFUNCTION("""COMPUTED_VALUE"""),0.170143819406517)</f>
        <v>0.17014381940651699</v>
      </c>
    </row>
    <row r="39" spans="1:10" ht="16.8">
      <c r="A39" s="3" t="str">
        <f ca="1">IFERROR(__xludf.DUMMYFUNCTION("""COMPUTED_VALUE"""),"Malden Catholic High School - John Wick")</f>
        <v>Malden Catholic High School - John Wick</v>
      </c>
      <c r="B39" s="1" t="str">
        <f ca="1">IFERROR(__xludf.DUMMYFUNCTION("""COMPUTED_VALUE"""),"770")</f>
        <v>770</v>
      </c>
      <c r="C39" s="4">
        <f ca="1">IFERROR(__xludf.DUMMYFUNCTION("""COMPUTED_VALUE"""),11)</f>
        <v>11</v>
      </c>
      <c r="D39" s="4">
        <f ca="1">IFERROR(__xludf.DUMMYFUNCTION("""COMPUTED_VALUE"""),55)</f>
        <v>55</v>
      </c>
      <c r="E39" s="4">
        <f ca="1">IFERROR(__xludf.DUMMYFUNCTION("""COMPUTED_VALUE"""),39)</f>
        <v>39</v>
      </c>
      <c r="F39" s="4">
        <f ca="1">IFERROR(__xludf.DUMMYFUNCTION("""COMPUTED_VALUE"""),31)</f>
        <v>31</v>
      </c>
      <c r="G39" s="4">
        <f ca="1">IFERROR(__xludf.DUMMYFUNCTION("""COMPUTED_VALUE"""),44)</f>
        <v>44</v>
      </c>
      <c r="H39" s="4">
        <f ca="1">IFERROR(__xludf.DUMMYFUNCTION("""COMPUTED_VALUE"""),36)</f>
        <v>36</v>
      </c>
      <c r="I39" s="4">
        <f ca="1">IFERROR(__xludf.DUMMYFUNCTION("""COMPUTED_VALUE"""),38)</f>
        <v>38</v>
      </c>
      <c r="J39" s="4">
        <f ca="1">IFERROR(__xludf.DUMMYFUNCTION("""COMPUTED_VALUE"""),0.156054675647794)</f>
        <v>0.15605467564779399</v>
      </c>
    </row>
    <row r="40" spans="1:10" ht="16.8">
      <c r="A40" s="3" t="str">
        <f ca="1">IFERROR(__xludf.DUMMYFUNCTION("""COMPUTED_VALUE"""),"Olive Tree International Academy")</f>
        <v>Olive Tree International Academy</v>
      </c>
      <c r="B40" s="1" t="str">
        <f ca="1">IFERROR(__xludf.DUMMYFUNCTION("""COMPUTED_VALUE"""),"661")</f>
        <v>661</v>
      </c>
      <c r="C40" s="4">
        <f ca="1">IFERROR(__xludf.DUMMYFUNCTION("""COMPUTED_VALUE"""),20)</f>
        <v>20</v>
      </c>
      <c r="D40" s="4">
        <f ca="1">IFERROR(__xludf.DUMMYFUNCTION("""COMPUTED_VALUE"""),52)</f>
        <v>52</v>
      </c>
      <c r="E40" s="4">
        <f ca="1">IFERROR(__xludf.DUMMYFUNCTION("""COMPUTED_VALUE"""),22)</f>
        <v>22</v>
      </c>
      <c r="F40" s="4">
        <f ca="1">IFERROR(__xludf.DUMMYFUNCTION("""COMPUTED_VALUE"""),36)</f>
        <v>36</v>
      </c>
      <c r="G40" s="4">
        <f ca="1">IFERROR(__xludf.DUMMYFUNCTION("""COMPUTED_VALUE"""),48)</f>
        <v>48</v>
      </c>
      <c r="H40" s="4">
        <f ca="1">IFERROR(__xludf.DUMMYFUNCTION("""COMPUTED_VALUE"""),35.6)</f>
        <v>35.6</v>
      </c>
      <c r="I40" s="4">
        <f ca="1">IFERROR(__xludf.DUMMYFUNCTION("""COMPUTED_VALUE"""),39)</f>
        <v>39</v>
      </c>
      <c r="J40" s="4">
        <f ca="1">IFERROR(__xludf.DUMMYFUNCTION("""COMPUTED_VALUE"""),0.142129376782571)</f>
        <v>0.14212937678257101</v>
      </c>
    </row>
    <row r="41" spans="1:10" ht="16.8">
      <c r="A41" s="3" t="str">
        <f ca="1">IFERROR(__xludf.DUMMYFUNCTION("""COMPUTED_VALUE"""),"Tucumcari")</f>
        <v>Tucumcari</v>
      </c>
      <c r="B41" s="1" t="str">
        <f ca="1">IFERROR(__xludf.DUMMYFUNCTION("""COMPUTED_VALUE"""),"806")</f>
        <v>806</v>
      </c>
      <c r="C41" s="4">
        <f ca="1">IFERROR(__xludf.DUMMYFUNCTION("""COMPUTED_VALUE"""),32)</f>
        <v>32</v>
      </c>
      <c r="D41" s="4">
        <f ca="1">IFERROR(__xludf.DUMMYFUNCTION("""COMPUTED_VALUE"""),45)</f>
        <v>45</v>
      </c>
      <c r="E41" s="4">
        <f ca="1">IFERROR(__xludf.DUMMYFUNCTION("""COMPUTED_VALUE"""),26)</f>
        <v>26</v>
      </c>
      <c r="F41" s="4">
        <f ca="1">IFERROR(__xludf.DUMMYFUNCTION("""COMPUTED_VALUE"""),20)</f>
        <v>20</v>
      </c>
      <c r="G41" s="4">
        <f ca="1">IFERROR(__xludf.DUMMYFUNCTION("""COMPUTED_VALUE"""),39)</f>
        <v>39</v>
      </c>
      <c r="H41" s="4">
        <f ca="1">IFERROR(__xludf.DUMMYFUNCTION("""COMPUTED_VALUE"""),32.4)</f>
        <v>32.4</v>
      </c>
      <c r="I41" s="4">
        <f ca="1">IFERROR(__xludf.DUMMYFUNCTION("""COMPUTED_VALUE"""),40)</f>
        <v>40</v>
      </c>
      <c r="J41" s="4">
        <f ca="1">IFERROR(__xludf.DUMMYFUNCTION("""COMPUTED_VALUE"""),0.127949208083014)</f>
        <v>0.12794920808301399</v>
      </c>
    </row>
    <row r="42" spans="1:10" ht="16.8">
      <c r="A42" s="3" t="str">
        <f ca="1">IFERROR(__xludf.DUMMYFUNCTION("""COMPUTED_VALUE"""),"Tucumcari")</f>
        <v>Tucumcari</v>
      </c>
      <c r="B42" s="1" t="str">
        <f ca="1">IFERROR(__xludf.DUMMYFUNCTION("""COMPUTED_VALUE"""),"310")</f>
        <v>310</v>
      </c>
      <c r="C42" s="4">
        <f ca="1">IFERROR(__xludf.DUMMYFUNCTION("""COMPUTED_VALUE"""),6)</f>
        <v>6</v>
      </c>
      <c r="D42" s="4">
        <f ca="1">IFERROR(__xludf.DUMMYFUNCTION("""COMPUTED_VALUE"""),24)</f>
        <v>24</v>
      </c>
      <c r="E42" s="4">
        <f ca="1">IFERROR(__xludf.DUMMYFUNCTION("""COMPUTED_VALUE"""),7)</f>
        <v>7</v>
      </c>
      <c r="F42" s="4">
        <f ca="1">IFERROR(__xludf.DUMMYFUNCTION("""COMPUTED_VALUE"""),90)</f>
        <v>90</v>
      </c>
      <c r="G42" s="4">
        <f ca="1">IFERROR(__xludf.DUMMYFUNCTION("""COMPUTED_VALUE"""),22)</f>
        <v>22</v>
      </c>
      <c r="H42" s="4">
        <f ca="1">IFERROR(__xludf.DUMMYFUNCTION("""COMPUTED_VALUE"""),29.8)</f>
        <v>29.8</v>
      </c>
      <c r="I42" s="4">
        <f ca="1">IFERROR(__xludf.DUMMYFUNCTION("""COMPUTED_VALUE"""),41)</f>
        <v>41</v>
      </c>
      <c r="J42" s="4">
        <f ca="1">IFERROR(__xludf.DUMMYFUNCTION("""COMPUTED_VALUE"""),0.113823654347958)</f>
        <v>0.11382365434795801</v>
      </c>
    </row>
    <row r="43" spans="1:10" ht="16.8">
      <c r="A43" s="3" t="str">
        <f ca="1">IFERROR(__xludf.DUMMYFUNCTION("""COMPUTED_VALUE"""),"Jerome High School")</f>
        <v>Jerome High School</v>
      </c>
      <c r="B43" s="1" t="str">
        <f ca="1">IFERROR(__xludf.DUMMYFUNCTION("""COMPUTED_VALUE"""),"889")</f>
        <v>889</v>
      </c>
      <c r="C43" s="4">
        <f ca="1">IFERROR(__xludf.DUMMYFUNCTION("""COMPUTED_VALUE"""),51)</f>
        <v>51</v>
      </c>
      <c r="D43" s="4">
        <f ca="1">IFERROR(__xludf.DUMMYFUNCTION("""COMPUTED_VALUE"""),36)</f>
        <v>36</v>
      </c>
      <c r="E43" s="4">
        <f ca="1">IFERROR(__xludf.DUMMYFUNCTION("""COMPUTED_VALUE"""),6)</f>
        <v>6</v>
      </c>
      <c r="F43" s="4">
        <f ca="1">IFERROR(__xludf.DUMMYFUNCTION("""COMPUTED_VALUE"""),29)</f>
        <v>29</v>
      </c>
      <c r="G43" s="4">
        <f ca="1">IFERROR(__xludf.DUMMYFUNCTION("""COMPUTED_VALUE"""),21)</f>
        <v>21</v>
      </c>
      <c r="H43" s="4">
        <f ca="1">IFERROR(__xludf.DUMMYFUNCTION("""COMPUTED_VALUE"""),28.6)</f>
        <v>28.6</v>
      </c>
      <c r="I43" s="4">
        <f ca="1">IFERROR(__xludf.DUMMYFUNCTION("""COMPUTED_VALUE"""),42)</f>
        <v>42</v>
      </c>
      <c r="J43" s="4">
        <f ca="1">IFERROR(__xludf.DUMMYFUNCTION("""COMPUTED_VALUE"""),0.0998255355300685)</f>
        <v>9.9825535530068496E-2</v>
      </c>
    </row>
    <row r="44" spans="1:10" ht="16.8">
      <c r="A44" s="3" t="str">
        <f ca="1">IFERROR(__xludf.DUMMYFUNCTION("""COMPUTED_VALUE"""),"Bald Eagle Area School District")</f>
        <v>Bald Eagle Area School District</v>
      </c>
      <c r="B44" s="1" t="str">
        <f ca="1">IFERROR(__xludf.DUMMYFUNCTION("""COMPUTED_VALUE"""),"86")</f>
        <v>86</v>
      </c>
      <c r="C44" s="4">
        <f ca="1">IFERROR(__xludf.DUMMYFUNCTION("""COMPUTED_VALUE"""),11)</f>
        <v>11</v>
      </c>
      <c r="D44" s="4">
        <f ca="1">IFERROR(__xludf.DUMMYFUNCTION("""COMPUTED_VALUE"""),10)</f>
        <v>10</v>
      </c>
      <c r="E44" s="4">
        <f ca="1">IFERROR(__xludf.DUMMYFUNCTION("""COMPUTED_VALUE"""),31)</f>
        <v>31</v>
      </c>
      <c r="F44" s="4">
        <f ca="1">IFERROR(__xludf.DUMMYFUNCTION("""COMPUTED_VALUE"""),16)</f>
        <v>16</v>
      </c>
      <c r="G44" s="4">
        <f ca="1">IFERROR(__xludf.DUMMYFUNCTION("""COMPUTED_VALUE"""),74)</f>
        <v>74</v>
      </c>
      <c r="H44" s="4">
        <f ca="1">IFERROR(__xludf.DUMMYFUNCTION("""COMPUTED_VALUE"""),28.4)</f>
        <v>28.4</v>
      </c>
      <c r="I44" s="4">
        <f ca="1">IFERROR(__xludf.DUMMYFUNCTION("""COMPUTED_VALUE"""),43)</f>
        <v>43</v>
      </c>
      <c r="J44" s="4">
        <f ca="1">IFERROR(__xludf.DUMMYFUNCTION("""COMPUTED_VALUE"""),0.0859184416530129)</f>
        <v>8.5918441653012906E-2</v>
      </c>
    </row>
    <row r="45" spans="1:10" ht="16.8">
      <c r="A45" s="3" t="str">
        <f ca="1">IFERROR(__xludf.DUMMYFUNCTION("""COMPUTED_VALUE"""),"TGM Allstars")</f>
        <v>TGM Allstars</v>
      </c>
      <c r="B45" s="1" t="str">
        <f ca="1">IFERROR(__xludf.DUMMYFUNCTION("""COMPUTED_VALUE"""),"617")</f>
        <v>617</v>
      </c>
      <c r="C45" s="4">
        <f ca="1">IFERROR(__xludf.DUMMYFUNCTION("""COMPUTED_VALUE"""),0)</f>
        <v>0</v>
      </c>
      <c r="D45" s="4">
        <f ca="1">IFERROR(__xludf.DUMMYFUNCTION("""COMPUTED_VALUE"""),12)</f>
        <v>12</v>
      </c>
      <c r="E45" s="4">
        <f ca="1">IFERROR(__xludf.DUMMYFUNCTION("""COMPUTED_VALUE"""),56)</f>
        <v>56</v>
      </c>
      <c r="F45" s="4">
        <f ca="1">IFERROR(__xludf.DUMMYFUNCTION("""COMPUTED_VALUE"""),40)</f>
        <v>40</v>
      </c>
      <c r="G45" s="4">
        <f ca="1">IFERROR(__xludf.DUMMYFUNCTION("""COMPUTED_VALUE"""),30)</f>
        <v>30</v>
      </c>
      <c r="H45" s="4">
        <f ca="1">IFERROR(__xludf.DUMMYFUNCTION("""COMPUTED_VALUE"""),27.6)</f>
        <v>27.6</v>
      </c>
      <c r="I45" s="4">
        <f ca="1">IFERROR(__xludf.DUMMYFUNCTION("""COMPUTED_VALUE"""),44)</f>
        <v>44</v>
      </c>
      <c r="J45" s="4">
        <f ca="1">IFERROR(__xludf.DUMMYFUNCTION("""COMPUTED_VALUE"""),0.071956732811457)</f>
        <v>7.1956732811456994E-2</v>
      </c>
    </row>
    <row r="46" spans="1:10" ht="16.8">
      <c r="A46" s="3" t="str">
        <f ca="1">IFERROR(__xludf.DUMMYFUNCTION("""COMPUTED_VALUE"""),"Australia Team")</f>
        <v>Australia Team</v>
      </c>
      <c r="B46" s="1" t="str">
        <f ca="1">IFERROR(__xludf.DUMMYFUNCTION("""COMPUTED_VALUE"""),"921")</f>
        <v>921</v>
      </c>
      <c r="C46" s="4">
        <f ca="1">IFERROR(__xludf.DUMMYFUNCTION("""COMPUTED_VALUE"""),21)</f>
        <v>21</v>
      </c>
      <c r="D46" s="4">
        <f ca="1">IFERROR(__xludf.DUMMYFUNCTION("""COMPUTED_VALUE"""),47)</f>
        <v>47</v>
      </c>
      <c r="E46" s="4">
        <f ca="1">IFERROR(__xludf.DUMMYFUNCTION("""COMPUTED_VALUE"""),11)</f>
        <v>11</v>
      </c>
      <c r="F46" s="4">
        <f ca="1">IFERROR(__xludf.DUMMYFUNCTION("""COMPUTED_VALUE"""),22)</f>
        <v>22</v>
      </c>
      <c r="G46" s="4">
        <f ca="1">IFERROR(__xludf.DUMMYFUNCTION("""COMPUTED_VALUE"""),29)</f>
        <v>29</v>
      </c>
      <c r="H46" s="4">
        <f ca="1">IFERROR(__xludf.DUMMYFUNCTION("""COMPUTED_VALUE"""),26)</f>
        <v>26</v>
      </c>
      <c r="I46" s="4">
        <f ca="1">IFERROR(__xludf.DUMMYFUNCTION("""COMPUTED_VALUE"""),45)</f>
        <v>45</v>
      </c>
      <c r="J46" s="4">
        <f ca="1">IFERROR(__xludf.DUMMYFUNCTION("""COMPUTED_VALUE"""),0.057922204017234)</f>
        <v>5.7922204017233997E-2</v>
      </c>
    </row>
    <row r="47" spans="1:10" ht="16.8">
      <c r="A47" s="3" t="str">
        <f ca="1">IFERROR(__xludf.DUMMYFUNCTION("""COMPUTED_VALUE"""),"Tucumcari")</f>
        <v>Tucumcari</v>
      </c>
      <c r="B47" s="1" t="str">
        <f ca="1">IFERROR(__xludf.DUMMYFUNCTION("""COMPUTED_VALUE"""),"803")</f>
        <v>803</v>
      </c>
      <c r="C47" s="4">
        <f ca="1">IFERROR(__xludf.DUMMYFUNCTION("""COMPUTED_VALUE"""),23)</f>
        <v>23</v>
      </c>
      <c r="D47" s="4">
        <f ca="1">IFERROR(__xludf.DUMMYFUNCTION("""COMPUTED_VALUE"""),23)</f>
        <v>23</v>
      </c>
      <c r="E47" s="4">
        <f ca="1">IFERROR(__xludf.DUMMYFUNCTION("""COMPUTED_VALUE"""),0)</f>
        <v>0</v>
      </c>
      <c r="F47" s="4">
        <f ca="1">IFERROR(__xludf.DUMMYFUNCTION("""COMPUTED_VALUE"""),12)</f>
        <v>12</v>
      </c>
      <c r="G47" s="4">
        <f ca="1">IFERROR(__xludf.DUMMYFUNCTION("""COMPUTED_VALUE"""),25)</f>
        <v>25</v>
      </c>
      <c r="H47" s="4">
        <f ca="1">IFERROR(__xludf.DUMMYFUNCTION("""COMPUTED_VALUE"""),16.6)</f>
        <v>16.600000000000001</v>
      </c>
      <c r="I47" s="4">
        <f ca="1">IFERROR(__xludf.DUMMYFUNCTION("""COMPUTED_VALUE"""),46)</f>
        <v>46</v>
      </c>
      <c r="J47" s="4">
        <f ca="1">IFERROR(__xludf.DUMMYFUNCTION("""COMPUTED_VALUE"""),0.0431776806845075)</f>
        <v>4.3177680684507502E-2</v>
      </c>
    </row>
    <row r="48" spans="1:10" ht="16.8">
      <c r="A48" s="3" t="str">
        <f ca="1">IFERROR(__xludf.DUMMYFUNCTION("""COMPUTED_VALUE"""),"Buffalo Valley Public Schools")</f>
        <v>Buffalo Valley Public Schools</v>
      </c>
      <c r="B48" s="1" t="str">
        <f ca="1">IFERROR(__xludf.DUMMYFUNCTION("""COMPUTED_VALUE"""),"866")</f>
        <v>866</v>
      </c>
      <c r="C48" s="4">
        <f ca="1">IFERROR(__xludf.DUMMYFUNCTION("""COMPUTED_VALUE"""),15)</f>
        <v>15</v>
      </c>
      <c r="D48" s="4">
        <f ca="1">IFERROR(__xludf.DUMMYFUNCTION("""COMPUTED_VALUE"""),15)</f>
        <v>15</v>
      </c>
      <c r="E48" s="4">
        <f ca="1">IFERROR(__xludf.DUMMYFUNCTION("""COMPUTED_VALUE"""),27)</f>
        <v>27</v>
      </c>
      <c r="F48" s="4">
        <f ca="1">IFERROR(__xludf.DUMMYFUNCTION("""COMPUTED_VALUE"""),9)</f>
        <v>9</v>
      </c>
      <c r="G48" s="4">
        <f ca="1">IFERROR(__xludf.DUMMYFUNCTION("""COMPUTED_VALUE"""),15)</f>
        <v>15</v>
      </c>
      <c r="H48" s="4">
        <f ca="1">IFERROR(__xludf.DUMMYFUNCTION("""COMPUTED_VALUE"""),16.2)</f>
        <v>16.2</v>
      </c>
      <c r="I48" s="4">
        <f ca="1">IFERROR(__xludf.DUMMYFUNCTION("""COMPUTED_VALUE"""),47)</f>
        <v>47</v>
      </c>
      <c r="J48" s="4">
        <f ca="1">IFERROR(__xludf.DUMMYFUNCTION("""COMPUTED_VALUE"""),0.0292523818192851)</f>
        <v>2.9252381819285099E-2</v>
      </c>
    </row>
    <row r="49" spans="1:10" ht="16.8">
      <c r="A49" s="3" t="str">
        <f ca="1">IFERROR(__xludf.DUMMYFUNCTION("""COMPUTED_VALUE"""),"Millwood Arts Academy")</f>
        <v>Millwood Arts Academy</v>
      </c>
      <c r="B49" s="1" t="str">
        <f ca="1">IFERROR(__xludf.DUMMYFUNCTION("""COMPUTED_VALUE"""),"59")</f>
        <v>59</v>
      </c>
      <c r="C49" s="4">
        <f ca="1">IFERROR(__xludf.DUMMYFUNCTION("""COMPUTED_VALUE"""),23)</f>
        <v>23</v>
      </c>
      <c r="D49" s="4">
        <f ca="1">IFERROR(__xludf.DUMMYFUNCTION("""COMPUTED_VALUE"""),33)</f>
        <v>33</v>
      </c>
      <c r="E49" s="4">
        <f ca="1">IFERROR(__xludf.DUMMYFUNCTION("""COMPUTED_VALUE"""),7)</f>
        <v>7</v>
      </c>
      <c r="F49" s="4">
        <f ca="1">IFERROR(__xludf.DUMMYFUNCTION("""COMPUTED_VALUE"""),23)</f>
        <v>23</v>
      </c>
      <c r="G49" s="4">
        <f ca="1">IFERROR(__xludf.DUMMYFUNCTION("""COMPUTED_VALUE"""),12)</f>
        <v>12</v>
      </c>
      <c r="H49" s="4">
        <f ca="1">IFERROR(__xludf.DUMMYFUNCTION("""COMPUTED_VALUE"""),15)</f>
        <v>15</v>
      </c>
      <c r="I49" s="4">
        <f ca="1">IFERROR(__xludf.DUMMYFUNCTION("""COMPUTED_VALUE"""),48)</f>
        <v>48</v>
      </c>
      <c r="J49" s="4">
        <f ca="1">IFERROR(__xludf.DUMMYFUNCTION("""COMPUTED_VALUE"""),0.0152542630013957)</f>
        <v>1.52542630013957E-2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Scores</vt:lpstr>
      <vt:lpstr>Trophies &amp; Certificates</vt:lpstr>
      <vt:lpstr>DE Bracket Artemis (13)</vt:lpstr>
      <vt:lpstr>DE Bracket Apollo (12)</vt:lpstr>
      <vt:lpstr>DE Bracket Surveyor (9)</vt:lpstr>
      <vt:lpstr>DE Bracket Ranger (14)</vt:lpstr>
      <vt:lpstr>Combined Seeding</vt:lpstr>
      <vt:lpstr>Seeding Scores</vt:lpstr>
      <vt:lpstr>Double Seeding Scores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Ekman</cp:lastModifiedBy>
  <dcterms:modified xsi:type="dcterms:W3CDTF">2025-09-02T18:11:30Z</dcterms:modified>
</cp:coreProperties>
</file>